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09743ebf26f83b1/Documents/"/>
    </mc:Choice>
  </mc:AlternateContent>
  <xr:revisionPtr revIDLastSave="5" documentId="8_{7052862F-9B1B-4D18-A8C9-CC4FF9064A96}" xr6:coauthVersionLast="47" xr6:coauthVersionMax="47" xr10:uidLastSave="{0434E1ED-FD48-45E7-80AF-1E2143896D14}"/>
  <bookViews>
    <workbookView xWindow="-110" yWindow="-110" windowWidth="19420" windowHeight="10300" activeTab="1" xr2:uid="{00000000-000D-0000-FFFF-FFFF00000000}"/>
  </bookViews>
  <sheets>
    <sheet name="AVS-2024" sheetId="1" r:id="rId1"/>
    <sheet name="indicators" sheetId="2" r:id="rId2"/>
    <sheet name="backtrace" sheetId="3" r:id="rId3"/>
  </sheets>
  <definedNames>
    <definedName name="_xlnm._FilterDatabase" localSheetId="0" hidden="1">'AVS-2024'!$A$1:$BB$499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5" i="1" l="1"/>
  <c r="L345" i="1"/>
  <c r="K345" i="1"/>
  <c r="I345" i="1"/>
  <c r="H345" i="1"/>
  <c r="F345" i="1"/>
  <c r="E345" i="1"/>
  <c r="D345" i="1"/>
  <c r="C345" i="1"/>
  <c r="B345" i="1"/>
  <c r="M344" i="1"/>
  <c r="L344" i="1"/>
  <c r="K344" i="1"/>
  <c r="I344" i="1"/>
  <c r="H344" i="1"/>
  <c r="F344" i="1"/>
  <c r="E344" i="1"/>
  <c r="D344" i="1"/>
  <c r="C344" i="1"/>
  <c r="B344" i="1"/>
  <c r="M343" i="1"/>
  <c r="L343" i="1"/>
  <c r="K343" i="1"/>
  <c r="I343" i="1"/>
  <c r="H343" i="1"/>
  <c r="F343" i="1"/>
  <c r="E343" i="1"/>
  <c r="D343" i="1"/>
  <c r="C343" i="1"/>
  <c r="B343" i="1"/>
  <c r="M342" i="1"/>
  <c r="L342" i="1"/>
  <c r="K342" i="1"/>
  <c r="I342" i="1"/>
  <c r="H342" i="1"/>
  <c r="F342" i="1"/>
  <c r="E342" i="1"/>
  <c r="D342" i="1"/>
  <c r="C342" i="1"/>
  <c r="B342" i="1"/>
  <c r="M341" i="1"/>
  <c r="L341" i="1"/>
  <c r="U341" i="1" s="1"/>
  <c r="K341" i="1"/>
  <c r="I341" i="1"/>
  <c r="H341" i="1"/>
  <c r="F341" i="1"/>
  <c r="E341" i="1"/>
  <c r="D341" i="1"/>
  <c r="C341" i="1"/>
  <c r="B341" i="1"/>
  <c r="M340" i="1"/>
  <c r="L340" i="1"/>
  <c r="K340" i="1"/>
  <c r="I340" i="1"/>
  <c r="H340" i="1"/>
  <c r="F340" i="1"/>
  <c r="E340" i="1"/>
  <c r="D340" i="1"/>
  <c r="C340" i="1"/>
  <c r="B340" i="1"/>
  <c r="M339" i="1"/>
  <c r="L339" i="1"/>
  <c r="K339" i="1"/>
  <c r="U339" i="1" s="1"/>
  <c r="I339" i="1"/>
  <c r="H339" i="1"/>
  <c r="F339" i="1"/>
  <c r="E339" i="1"/>
  <c r="D339" i="1"/>
  <c r="C339" i="1"/>
  <c r="B339" i="1"/>
  <c r="M338" i="1"/>
  <c r="L338" i="1"/>
  <c r="K338" i="1"/>
  <c r="I338" i="1"/>
  <c r="H338" i="1"/>
  <c r="F338" i="1"/>
  <c r="E338" i="1"/>
  <c r="D338" i="1"/>
  <c r="C338" i="1"/>
  <c r="B338" i="1"/>
  <c r="M337" i="1"/>
  <c r="L337" i="1"/>
  <c r="K337" i="1"/>
  <c r="I337" i="1"/>
  <c r="H337" i="1"/>
  <c r="F337" i="1"/>
  <c r="E337" i="1"/>
  <c r="D337" i="1"/>
  <c r="C337" i="1"/>
  <c r="B337" i="1"/>
  <c r="M336" i="1"/>
  <c r="L336" i="1"/>
  <c r="K336" i="1"/>
  <c r="I336" i="1"/>
  <c r="H336" i="1"/>
  <c r="AJ336" i="1" s="1"/>
  <c r="F336" i="1"/>
  <c r="E336" i="1"/>
  <c r="D336" i="1"/>
  <c r="C336" i="1"/>
  <c r="B336" i="1"/>
  <c r="M335" i="1"/>
  <c r="L335" i="1"/>
  <c r="K335" i="1"/>
  <c r="I335" i="1"/>
  <c r="H335" i="1"/>
  <c r="F335" i="1"/>
  <c r="E335" i="1"/>
  <c r="D335" i="1"/>
  <c r="C335" i="1"/>
  <c r="B335" i="1"/>
  <c r="M334" i="1"/>
  <c r="L334" i="1"/>
  <c r="K334" i="1"/>
  <c r="I334" i="1"/>
  <c r="H334" i="1"/>
  <c r="F334" i="1"/>
  <c r="E334" i="1"/>
  <c r="D334" i="1"/>
  <c r="C334" i="1"/>
  <c r="B334" i="1"/>
  <c r="M333" i="1"/>
  <c r="L333" i="1"/>
  <c r="K333" i="1"/>
  <c r="I333" i="1"/>
  <c r="H333" i="1"/>
  <c r="F333" i="1"/>
  <c r="E333" i="1"/>
  <c r="D333" i="1"/>
  <c r="C333" i="1"/>
  <c r="B333" i="1"/>
  <c r="M332" i="1"/>
  <c r="L332" i="1"/>
  <c r="K332" i="1"/>
  <c r="I332" i="1"/>
  <c r="H332" i="1"/>
  <c r="F332" i="1"/>
  <c r="E332" i="1"/>
  <c r="D332" i="1"/>
  <c r="C332" i="1"/>
  <c r="B332" i="1"/>
  <c r="M331" i="1"/>
  <c r="L331" i="1"/>
  <c r="K331" i="1"/>
  <c r="AK331" i="1" s="1"/>
  <c r="I331" i="1"/>
  <c r="H331" i="1"/>
  <c r="AF331" i="1" s="1"/>
  <c r="F331" i="1"/>
  <c r="E331" i="1"/>
  <c r="D331" i="1"/>
  <c r="C331" i="1"/>
  <c r="B331" i="1"/>
  <c r="M330" i="1"/>
  <c r="L330" i="1"/>
  <c r="K330" i="1"/>
  <c r="I330" i="1"/>
  <c r="H330" i="1"/>
  <c r="F330" i="1"/>
  <c r="E330" i="1"/>
  <c r="D330" i="1"/>
  <c r="C330" i="1"/>
  <c r="B330" i="1"/>
  <c r="M329" i="1"/>
  <c r="AA329" i="1" s="1"/>
  <c r="L329" i="1"/>
  <c r="K329" i="1"/>
  <c r="I329" i="1"/>
  <c r="H329" i="1"/>
  <c r="F329" i="1"/>
  <c r="E329" i="1"/>
  <c r="D329" i="1"/>
  <c r="C329" i="1"/>
  <c r="B329" i="1"/>
  <c r="M328" i="1"/>
  <c r="L328" i="1"/>
  <c r="K328" i="1"/>
  <c r="I328" i="1"/>
  <c r="H328" i="1"/>
  <c r="F328" i="1"/>
  <c r="E328" i="1"/>
  <c r="D328" i="1"/>
  <c r="C328" i="1"/>
  <c r="B328" i="1"/>
  <c r="G328" i="1" s="1"/>
  <c r="M327" i="1"/>
  <c r="L327" i="1"/>
  <c r="K327" i="1"/>
  <c r="I327" i="1"/>
  <c r="H327" i="1"/>
  <c r="F327" i="1"/>
  <c r="E327" i="1"/>
  <c r="D327" i="1"/>
  <c r="C327" i="1"/>
  <c r="B327" i="1"/>
  <c r="M326" i="1"/>
  <c r="L326" i="1"/>
  <c r="K326" i="1"/>
  <c r="I326" i="1"/>
  <c r="H326" i="1"/>
  <c r="F326" i="1"/>
  <c r="E326" i="1"/>
  <c r="D326" i="1"/>
  <c r="C326" i="1"/>
  <c r="B326" i="1"/>
  <c r="M325" i="1"/>
  <c r="L325" i="1"/>
  <c r="K325" i="1"/>
  <c r="I325" i="1"/>
  <c r="H325" i="1"/>
  <c r="F325" i="1"/>
  <c r="E325" i="1"/>
  <c r="D325" i="1"/>
  <c r="C325" i="1"/>
  <c r="B325" i="1"/>
  <c r="M324" i="1"/>
  <c r="L324" i="1"/>
  <c r="K324" i="1"/>
  <c r="I324" i="1"/>
  <c r="H324" i="1"/>
  <c r="F324" i="1"/>
  <c r="E324" i="1"/>
  <c r="D324" i="1"/>
  <c r="C324" i="1"/>
  <c r="B324" i="1"/>
  <c r="M323" i="1"/>
  <c r="L323" i="1"/>
  <c r="K323" i="1"/>
  <c r="I323" i="1"/>
  <c r="H323" i="1"/>
  <c r="F323" i="1"/>
  <c r="E323" i="1"/>
  <c r="D323" i="1"/>
  <c r="C323" i="1"/>
  <c r="B323" i="1"/>
  <c r="M322" i="1"/>
  <c r="L322" i="1"/>
  <c r="K322" i="1"/>
  <c r="I322" i="1"/>
  <c r="H322" i="1"/>
  <c r="F322" i="1"/>
  <c r="E322" i="1"/>
  <c r="D322" i="1"/>
  <c r="C322" i="1"/>
  <c r="B322" i="1"/>
  <c r="M321" i="1"/>
  <c r="L321" i="1"/>
  <c r="K321" i="1"/>
  <c r="I321" i="1"/>
  <c r="H321" i="1"/>
  <c r="F321" i="1"/>
  <c r="E321" i="1"/>
  <c r="D321" i="1"/>
  <c r="C321" i="1"/>
  <c r="B321" i="1"/>
  <c r="M320" i="1"/>
  <c r="L320" i="1"/>
  <c r="K320" i="1"/>
  <c r="I320" i="1"/>
  <c r="H320" i="1"/>
  <c r="Z320" i="1" s="1"/>
  <c r="F320" i="1"/>
  <c r="E320" i="1"/>
  <c r="D320" i="1"/>
  <c r="C320" i="1"/>
  <c r="B320" i="1"/>
  <c r="M319" i="1"/>
  <c r="L319" i="1"/>
  <c r="K319" i="1"/>
  <c r="I319" i="1"/>
  <c r="H319" i="1"/>
  <c r="AJ319" i="1" s="1"/>
  <c r="F319" i="1"/>
  <c r="E319" i="1"/>
  <c r="D319" i="1"/>
  <c r="C319" i="1"/>
  <c r="B319" i="1"/>
  <c r="M318" i="1"/>
  <c r="L318" i="1"/>
  <c r="K318" i="1"/>
  <c r="I318" i="1"/>
  <c r="H318" i="1"/>
  <c r="F318" i="1"/>
  <c r="E318" i="1"/>
  <c r="D318" i="1"/>
  <c r="C318" i="1"/>
  <c r="B318" i="1"/>
  <c r="M317" i="1"/>
  <c r="L317" i="1"/>
  <c r="K317" i="1"/>
  <c r="I317" i="1"/>
  <c r="H317" i="1"/>
  <c r="F317" i="1"/>
  <c r="E317" i="1"/>
  <c r="D317" i="1"/>
  <c r="C317" i="1"/>
  <c r="B317" i="1"/>
  <c r="M316" i="1"/>
  <c r="L316" i="1"/>
  <c r="K316" i="1"/>
  <c r="I316" i="1"/>
  <c r="H316" i="1"/>
  <c r="F316" i="1"/>
  <c r="E316" i="1"/>
  <c r="D316" i="1"/>
  <c r="C316" i="1"/>
  <c r="B316" i="1"/>
  <c r="M315" i="1"/>
  <c r="L315" i="1"/>
  <c r="K315" i="1"/>
  <c r="I315" i="1"/>
  <c r="H315" i="1"/>
  <c r="F315" i="1"/>
  <c r="E315" i="1"/>
  <c r="D315" i="1"/>
  <c r="C315" i="1"/>
  <c r="B315" i="1"/>
  <c r="M314" i="1"/>
  <c r="L314" i="1"/>
  <c r="K314" i="1"/>
  <c r="I314" i="1"/>
  <c r="H314" i="1"/>
  <c r="F314" i="1"/>
  <c r="E314" i="1"/>
  <c r="D314" i="1"/>
  <c r="C314" i="1"/>
  <c r="B314" i="1"/>
  <c r="M313" i="1"/>
  <c r="L313" i="1"/>
  <c r="K313" i="1"/>
  <c r="I313" i="1"/>
  <c r="H313" i="1"/>
  <c r="F313" i="1"/>
  <c r="E313" i="1"/>
  <c r="D313" i="1"/>
  <c r="C313" i="1"/>
  <c r="B313" i="1"/>
  <c r="M312" i="1"/>
  <c r="L312" i="1"/>
  <c r="K312" i="1"/>
  <c r="AA312" i="1" s="1"/>
  <c r="I312" i="1"/>
  <c r="H312" i="1"/>
  <c r="F312" i="1"/>
  <c r="E312" i="1"/>
  <c r="D312" i="1"/>
  <c r="C312" i="1"/>
  <c r="B312" i="1"/>
  <c r="M311" i="1"/>
  <c r="L311" i="1"/>
  <c r="K311" i="1"/>
  <c r="I311" i="1"/>
  <c r="H311" i="1"/>
  <c r="F311" i="1"/>
  <c r="E311" i="1"/>
  <c r="D311" i="1"/>
  <c r="C311" i="1"/>
  <c r="B311" i="1"/>
  <c r="M310" i="1"/>
  <c r="L310" i="1"/>
  <c r="K310" i="1"/>
  <c r="I310" i="1"/>
  <c r="Z310" i="1" s="1"/>
  <c r="H310" i="1"/>
  <c r="F310" i="1"/>
  <c r="E310" i="1"/>
  <c r="D310" i="1"/>
  <c r="C310" i="1"/>
  <c r="B310" i="1"/>
  <c r="M309" i="1"/>
  <c r="L309" i="1"/>
  <c r="K309" i="1"/>
  <c r="I309" i="1"/>
  <c r="H309" i="1"/>
  <c r="F309" i="1"/>
  <c r="E309" i="1"/>
  <c r="D309" i="1"/>
  <c r="C309" i="1"/>
  <c r="B309" i="1"/>
  <c r="M308" i="1"/>
  <c r="L308" i="1"/>
  <c r="K308" i="1"/>
  <c r="I308" i="1"/>
  <c r="H308" i="1"/>
  <c r="F308" i="1"/>
  <c r="E308" i="1"/>
  <c r="D308" i="1"/>
  <c r="C308" i="1"/>
  <c r="B308" i="1"/>
  <c r="M307" i="1"/>
  <c r="L307" i="1"/>
  <c r="K307" i="1"/>
  <c r="I307" i="1"/>
  <c r="H307" i="1"/>
  <c r="F307" i="1"/>
  <c r="E307" i="1"/>
  <c r="D307" i="1"/>
  <c r="C307" i="1"/>
  <c r="B307" i="1"/>
  <c r="M306" i="1"/>
  <c r="L306" i="1"/>
  <c r="K306" i="1"/>
  <c r="I306" i="1"/>
  <c r="H306" i="1"/>
  <c r="F306" i="1"/>
  <c r="E306" i="1"/>
  <c r="D306" i="1"/>
  <c r="C306" i="1"/>
  <c r="B306" i="1"/>
  <c r="M305" i="1"/>
  <c r="L305" i="1"/>
  <c r="K305" i="1"/>
  <c r="I305" i="1"/>
  <c r="H305" i="1"/>
  <c r="F305" i="1"/>
  <c r="E305" i="1"/>
  <c r="D305" i="1"/>
  <c r="C305" i="1"/>
  <c r="B305" i="1"/>
  <c r="G305" i="1" s="1"/>
  <c r="M304" i="1"/>
  <c r="L304" i="1"/>
  <c r="K304" i="1"/>
  <c r="I304" i="1"/>
  <c r="H304" i="1"/>
  <c r="F304" i="1"/>
  <c r="E304" i="1"/>
  <c r="D304" i="1"/>
  <c r="C304" i="1"/>
  <c r="B304" i="1"/>
  <c r="M303" i="1"/>
  <c r="L303" i="1"/>
  <c r="K303" i="1"/>
  <c r="I303" i="1"/>
  <c r="H303" i="1"/>
  <c r="F303" i="1"/>
  <c r="E303" i="1"/>
  <c r="D303" i="1"/>
  <c r="C303" i="1"/>
  <c r="B303" i="1"/>
  <c r="M302" i="1"/>
  <c r="AK302" i="1" s="1"/>
  <c r="L302" i="1"/>
  <c r="AE302" i="1" s="1"/>
  <c r="K302" i="1"/>
  <c r="I302" i="1"/>
  <c r="H302" i="1"/>
  <c r="F302" i="1"/>
  <c r="E302" i="1"/>
  <c r="D302" i="1"/>
  <c r="C302" i="1"/>
  <c r="G302" i="1" s="1"/>
  <c r="B302" i="1"/>
  <c r="M301" i="1"/>
  <c r="L301" i="1"/>
  <c r="K301" i="1"/>
  <c r="I301" i="1"/>
  <c r="H301" i="1"/>
  <c r="F301" i="1"/>
  <c r="E301" i="1"/>
  <c r="D301" i="1"/>
  <c r="C301" i="1"/>
  <c r="B301" i="1"/>
  <c r="M300" i="1"/>
  <c r="L300" i="1"/>
  <c r="K300" i="1"/>
  <c r="I300" i="1"/>
  <c r="H300" i="1"/>
  <c r="F300" i="1"/>
  <c r="E300" i="1"/>
  <c r="D300" i="1"/>
  <c r="C300" i="1"/>
  <c r="B300" i="1"/>
  <c r="M299" i="1"/>
  <c r="L299" i="1"/>
  <c r="K299" i="1"/>
  <c r="U299" i="1" s="1"/>
  <c r="I299" i="1"/>
  <c r="H299" i="1"/>
  <c r="F299" i="1"/>
  <c r="E299" i="1"/>
  <c r="D299" i="1"/>
  <c r="C299" i="1"/>
  <c r="B299" i="1"/>
  <c r="M298" i="1"/>
  <c r="AK298" i="1" s="1"/>
  <c r="L298" i="1"/>
  <c r="AE298" i="1" s="1"/>
  <c r="K298" i="1"/>
  <c r="I298" i="1"/>
  <c r="H298" i="1"/>
  <c r="F298" i="1"/>
  <c r="E298" i="1"/>
  <c r="D298" i="1"/>
  <c r="C298" i="1"/>
  <c r="B298" i="1"/>
  <c r="M297" i="1"/>
  <c r="L297" i="1"/>
  <c r="K297" i="1"/>
  <c r="I297" i="1"/>
  <c r="H297" i="1"/>
  <c r="AJ297" i="1" s="1"/>
  <c r="F297" i="1"/>
  <c r="E297" i="1"/>
  <c r="D297" i="1"/>
  <c r="C297" i="1"/>
  <c r="B297" i="1"/>
  <c r="M296" i="1"/>
  <c r="L296" i="1"/>
  <c r="K296" i="1"/>
  <c r="I296" i="1"/>
  <c r="H296" i="1"/>
  <c r="F296" i="1"/>
  <c r="E296" i="1"/>
  <c r="D296" i="1"/>
  <c r="C296" i="1"/>
  <c r="B296" i="1"/>
  <c r="M295" i="1"/>
  <c r="AA295" i="1" s="1"/>
  <c r="L295" i="1"/>
  <c r="K295" i="1"/>
  <c r="I295" i="1"/>
  <c r="J295" i="1" s="1"/>
  <c r="H295" i="1"/>
  <c r="F295" i="1"/>
  <c r="E295" i="1"/>
  <c r="D295" i="1"/>
  <c r="C295" i="1"/>
  <c r="B295" i="1"/>
  <c r="M294" i="1"/>
  <c r="L294" i="1"/>
  <c r="K294" i="1"/>
  <c r="I294" i="1"/>
  <c r="H294" i="1"/>
  <c r="F294" i="1"/>
  <c r="E294" i="1"/>
  <c r="D294" i="1"/>
  <c r="C294" i="1"/>
  <c r="B294" i="1"/>
  <c r="G294" i="1" s="1"/>
  <c r="M293" i="1"/>
  <c r="L293" i="1"/>
  <c r="AE293" i="1" s="1"/>
  <c r="K293" i="1"/>
  <c r="I293" i="1"/>
  <c r="H293" i="1"/>
  <c r="F293" i="1"/>
  <c r="E293" i="1"/>
  <c r="D293" i="1"/>
  <c r="C293" i="1"/>
  <c r="B293" i="1"/>
  <c r="M292" i="1"/>
  <c r="L292" i="1"/>
  <c r="K292" i="1"/>
  <c r="AA292" i="1" s="1"/>
  <c r="I292" i="1"/>
  <c r="H292" i="1"/>
  <c r="F292" i="1"/>
  <c r="E292" i="1"/>
  <c r="D292" i="1"/>
  <c r="C292" i="1"/>
  <c r="B292" i="1"/>
  <c r="M291" i="1"/>
  <c r="L291" i="1"/>
  <c r="K291" i="1"/>
  <c r="AE291" i="1" s="1"/>
  <c r="I291" i="1"/>
  <c r="H291" i="1"/>
  <c r="F291" i="1"/>
  <c r="E291" i="1"/>
  <c r="D291" i="1"/>
  <c r="C291" i="1"/>
  <c r="B291" i="1"/>
  <c r="M290" i="1"/>
  <c r="L290" i="1"/>
  <c r="K290" i="1"/>
  <c r="I290" i="1"/>
  <c r="H290" i="1"/>
  <c r="F290" i="1"/>
  <c r="E290" i="1"/>
  <c r="D290" i="1"/>
  <c r="C290" i="1"/>
  <c r="B290" i="1"/>
  <c r="M289" i="1"/>
  <c r="L289" i="1"/>
  <c r="K289" i="1"/>
  <c r="I289" i="1"/>
  <c r="H289" i="1"/>
  <c r="F289" i="1"/>
  <c r="E289" i="1"/>
  <c r="D289" i="1"/>
  <c r="C289" i="1"/>
  <c r="B289" i="1"/>
  <c r="M288" i="1"/>
  <c r="L288" i="1"/>
  <c r="K288" i="1"/>
  <c r="I288" i="1"/>
  <c r="H288" i="1"/>
  <c r="F288" i="1"/>
  <c r="E288" i="1"/>
  <c r="D288" i="1"/>
  <c r="C288" i="1"/>
  <c r="B288" i="1"/>
  <c r="M287" i="1"/>
  <c r="L287" i="1"/>
  <c r="K287" i="1"/>
  <c r="AE287" i="1" s="1"/>
  <c r="I287" i="1"/>
  <c r="H287" i="1"/>
  <c r="F287" i="1"/>
  <c r="E287" i="1"/>
  <c r="D287" i="1"/>
  <c r="C287" i="1"/>
  <c r="B287" i="1"/>
  <c r="M286" i="1"/>
  <c r="L286" i="1"/>
  <c r="K286" i="1"/>
  <c r="I286" i="1"/>
  <c r="H286" i="1"/>
  <c r="F286" i="1"/>
  <c r="E286" i="1"/>
  <c r="D286" i="1"/>
  <c r="C286" i="1"/>
  <c r="B286" i="1"/>
  <c r="M285" i="1"/>
  <c r="L285" i="1"/>
  <c r="K285" i="1"/>
  <c r="I285" i="1"/>
  <c r="H285" i="1"/>
  <c r="F285" i="1"/>
  <c r="E285" i="1"/>
  <c r="D285" i="1"/>
  <c r="C285" i="1"/>
  <c r="B285" i="1"/>
  <c r="M284" i="1"/>
  <c r="L284" i="1"/>
  <c r="U284" i="1" s="1"/>
  <c r="K284" i="1"/>
  <c r="I284" i="1"/>
  <c r="H284" i="1"/>
  <c r="F284" i="1"/>
  <c r="E284" i="1"/>
  <c r="D284" i="1"/>
  <c r="C284" i="1"/>
  <c r="B284" i="1"/>
  <c r="M283" i="1"/>
  <c r="L283" i="1"/>
  <c r="K283" i="1"/>
  <c r="I283" i="1"/>
  <c r="H283" i="1"/>
  <c r="F283" i="1"/>
  <c r="E283" i="1"/>
  <c r="D283" i="1"/>
  <c r="C283" i="1"/>
  <c r="B283" i="1"/>
  <c r="G283" i="1" s="1"/>
  <c r="M282" i="1"/>
  <c r="AK282" i="1" s="1"/>
  <c r="L282" i="1"/>
  <c r="K282" i="1"/>
  <c r="I282" i="1"/>
  <c r="H282" i="1"/>
  <c r="F282" i="1"/>
  <c r="E282" i="1"/>
  <c r="D282" i="1"/>
  <c r="C282" i="1"/>
  <c r="B282" i="1"/>
  <c r="M281" i="1"/>
  <c r="L281" i="1"/>
  <c r="K281" i="1"/>
  <c r="J281" i="1"/>
  <c r="I281" i="1"/>
  <c r="H281" i="1"/>
  <c r="F281" i="1"/>
  <c r="E281" i="1"/>
  <c r="D281" i="1"/>
  <c r="C281" i="1"/>
  <c r="B281" i="1"/>
  <c r="M280" i="1"/>
  <c r="L280" i="1"/>
  <c r="K280" i="1"/>
  <c r="U280" i="1" s="1"/>
  <c r="I280" i="1"/>
  <c r="H280" i="1"/>
  <c r="F280" i="1"/>
  <c r="E280" i="1"/>
  <c r="D280" i="1"/>
  <c r="C280" i="1"/>
  <c r="B280" i="1"/>
  <c r="M279" i="1"/>
  <c r="AA279" i="1" s="1"/>
  <c r="L279" i="1"/>
  <c r="K279" i="1"/>
  <c r="I279" i="1"/>
  <c r="H279" i="1"/>
  <c r="F279" i="1"/>
  <c r="E279" i="1"/>
  <c r="D279" i="1"/>
  <c r="C279" i="1"/>
  <c r="B279" i="1"/>
  <c r="M278" i="1"/>
  <c r="L278" i="1"/>
  <c r="K278" i="1"/>
  <c r="I278" i="1"/>
  <c r="H278" i="1"/>
  <c r="F278" i="1"/>
  <c r="E278" i="1"/>
  <c r="D278" i="1"/>
  <c r="C278" i="1"/>
  <c r="B278" i="1"/>
  <c r="G278" i="1" s="1"/>
  <c r="M277" i="1"/>
  <c r="L277" i="1"/>
  <c r="K277" i="1"/>
  <c r="I277" i="1"/>
  <c r="H277" i="1"/>
  <c r="F277" i="1"/>
  <c r="E277" i="1"/>
  <c r="D277" i="1"/>
  <c r="C277" i="1"/>
  <c r="B277" i="1"/>
  <c r="M276" i="1"/>
  <c r="L276" i="1"/>
  <c r="K276" i="1"/>
  <c r="I276" i="1"/>
  <c r="H276" i="1"/>
  <c r="F276" i="1"/>
  <c r="E276" i="1"/>
  <c r="D276" i="1"/>
  <c r="C276" i="1"/>
  <c r="B276" i="1"/>
  <c r="M275" i="1"/>
  <c r="L275" i="1"/>
  <c r="K275" i="1"/>
  <c r="I275" i="1"/>
  <c r="H275" i="1"/>
  <c r="F275" i="1"/>
  <c r="E275" i="1"/>
  <c r="D275" i="1"/>
  <c r="C275" i="1"/>
  <c r="B275" i="1"/>
  <c r="M274" i="1"/>
  <c r="L274" i="1"/>
  <c r="K274" i="1"/>
  <c r="I274" i="1"/>
  <c r="H274" i="1"/>
  <c r="AJ274" i="1" s="1"/>
  <c r="F274" i="1"/>
  <c r="E274" i="1"/>
  <c r="D274" i="1"/>
  <c r="C274" i="1"/>
  <c r="B274" i="1"/>
  <c r="M273" i="1"/>
  <c r="L273" i="1"/>
  <c r="K273" i="1"/>
  <c r="I273" i="1"/>
  <c r="H273" i="1"/>
  <c r="F273" i="1"/>
  <c r="E273" i="1"/>
  <c r="D273" i="1"/>
  <c r="C273" i="1"/>
  <c r="B273" i="1"/>
  <c r="M272" i="1"/>
  <c r="L272" i="1"/>
  <c r="K272" i="1"/>
  <c r="I272" i="1"/>
  <c r="H272" i="1"/>
  <c r="F272" i="1"/>
  <c r="E272" i="1"/>
  <c r="D272" i="1"/>
  <c r="C272" i="1"/>
  <c r="B272" i="1"/>
  <c r="M271" i="1"/>
  <c r="L271" i="1"/>
  <c r="K271" i="1"/>
  <c r="I271" i="1"/>
  <c r="H271" i="1"/>
  <c r="F271" i="1"/>
  <c r="E271" i="1"/>
  <c r="D271" i="1"/>
  <c r="C271" i="1"/>
  <c r="B271" i="1"/>
  <c r="M270" i="1"/>
  <c r="L270" i="1"/>
  <c r="K270" i="1"/>
  <c r="I270" i="1"/>
  <c r="H270" i="1"/>
  <c r="J270" i="1" s="1"/>
  <c r="F270" i="1"/>
  <c r="E270" i="1"/>
  <c r="D270" i="1"/>
  <c r="C270" i="1"/>
  <c r="B270" i="1"/>
  <c r="M269" i="1"/>
  <c r="L269" i="1"/>
  <c r="K269" i="1"/>
  <c r="I269" i="1"/>
  <c r="H269" i="1"/>
  <c r="AF269" i="1" s="1"/>
  <c r="F269" i="1"/>
  <c r="E269" i="1"/>
  <c r="D269" i="1"/>
  <c r="C269" i="1"/>
  <c r="B269" i="1"/>
  <c r="M268" i="1"/>
  <c r="L268" i="1"/>
  <c r="K268" i="1"/>
  <c r="I268" i="1"/>
  <c r="H268" i="1"/>
  <c r="F268" i="1"/>
  <c r="E268" i="1"/>
  <c r="D268" i="1"/>
  <c r="C268" i="1"/>
  <c r="B268" i="1"/>
  <c r="M267" i="1"/>
  <c r="L267" i="1"/>
  <c r="K267" i="1"/>
  <c r="I267" i="1"/>
  <c r="H267" i="1"/>
  <c r="F267" i="1"/>
  <c r="E267" i="1"/>
  <c r="D267" i="1"/>
  <c r="C267" i="1"/>
  <c r="B267" i="1"/>
  <c r="M266" i="1"/>
  <c r="L266" i="1"/>
  <c r="K266" i="1"/>
  <c r="I266" i="1"/>
  <c r="H266" i="1"/>
  <c r="F266" i="1"/>
  <c r="E266" i="1"/>
  <c r="D266" i="1"/>
  <c r="C266" i="1"/>
  <c r="B266" i="1"/>
  <c r="M265" i="1"/>
  <c r="L265" i="1"/>
  <c r="K265" i="1"/>
  <c r="I265" i="1"/>
  <c r="H265" i="1"/>
  <c r="F265" i="1"/>
  <c r="E265" i="1"/>
  <c r="D265" i="1"/>
  <c r="C265" i="1"/>
  <c r="B265" i="1"/>
  <c r="M264" i="1"/>
  <c r="L264" i="1"/>
  <c r="K264" i="1"/>
  <c r="I264" i="1"/>
  <c r="H264" i="1"/>
  <c r="F264" i="1"/>
  <c r="E264" i="1"/>
  <c r="D264" i="1"/>
  <c r="C264" i="1"/>
  <c r="B264" i="1"/>
  <c r="G264" i="1" s="1"/>
  <c r="M263" i="1"/>
  <c r="L263" i="1"/>
  <c r="K263" i="1"/>
  <c r="I263" i="1"/>
  <c r="H263" i="1"/>
  <c r="F263" i="1"/>
  <c r="E263" i="1"/>
  <c r="D263" i="1"/>
  <c r="C263" i="1"/>
  <c r="B263" i="1"/>
  <c r="M262" i="1"/>
  <c r="L262" i="1"/>
  <c r="K262" i="1"/>
  <c r="I262" i="1"/>
  <c r="H262" i="1"/>
  <c r="F262" i="1"/>
  <c r="E262" i="1"/>
  <c r="D262" i="1"/>
  <c r="C262" i="1"/>
  <c r="B262" i="1"/>
  <c r="M261" i="1"/>
  <c r="L261" i="1"/>
  <c r="K261" i="1"/>
  <c r="I261" i="1"/>
  <c r="H261" i="1"/>
  <c r="F261" i="1"/>
  <c r="E261" i="1"/>
  <c r="D261" i="1"/>
  <c r="C261" i="1"/>
  <c r="B261" i="1"/>
  <c r="M260" i="1"/>
  <c r="L260" i="1"/>
  <c r="K260" i="1"/>
  <c r="I260" i="1"/>
  <c r="H260" i="1"/>
  <c r="F260" i="1"/>
  <c r="E260" i="1"/>
  <c r="D260" i="1"/>
  <c r="C260" i="1"/>
  <c r="B260" i="1"/>
  <c r="M259" i="1"/>
  <c r="L259" i="1"/>
  <c r="K259" i="1"/>
  <c r="I259" i="1"/>
  <c r="H259" i="1"/>
  <c r="F259" i="1"/>
  <c r="E259" i="1"/>
  <c r="D259" i="1"/>
  <c r="C259" i="1"/>
  <c r="B259" i="1"/>
  <c r="M258" i="1"/>
  <c r="L258" i="1"/>
  <c r="K258" i="1"/>
  <c r="U258" i="1" s="1"/>
  <c r="I258" i="1"/>
  <c r="H258" i="1"/>
  <c r="AF258" i="1" s="1"/>
  <c r="F258" i="1"/>
  <c r="E258" i="1"/>
  <c r="D258" i="1"/>
  <c r="C258" i="1"/>
  <c r="B258" i="1"/>
  <c r="V257" i="1"/>
  <c r="M257" i="1"/>
  <c r="L257" i="1"/>
  <c r="K257" i="1"/>
  <c r="I257" i="1"/>
  <c r="H257" i="1"/>
  <c r="AF257" i="1" s="1"/>
  <c r="F257" i="1"/>
  <c r="E257" i="1"/>
  <c r="D257" i="1"/>
  <c r="C257" i="1"/>
  <c r="B257" i="1"/>
  <c r="M256" i="1"/>
  <c r="L256" i="1"/>
  <c r="K256" i="1"/>
  <c r="I256" i="1"/>
  <c r="H256" i="1"/>
  <c r="F256" i="1"/>
  <c r="E256" i="1"/>
  <c r="D256" i="1"/>
  <c r="C256" i="1"/>
  <c r="B256" i="1"/>
  <c r="M255" i="1"/>
  <c r="L255" i="1"/>
  <c r="K255" i="1"/>
  <c r="I255" i="1"/>
  <c r="H255" i="1"/>
  <c r="F255" i="1"/>
  <c r="E255" i="1"/>
  <c r="D255" i="1"/>
  <c r="C255" i="1"/>
  <c r="B255" i="1"/>
  <c r="M254" i="1"/>
  <c r="L254" i="1"/>
  <c r="K254" i="1"/>
  <c r="I254" i="1"/>
  <c r="H254" i="1"/>
  <c r="F254" i="1"/>
  <c r="E254" i="1"/>
  <c r="D254" i="1"/>
  <c r="C254" i="1"/>
  <c r="B254" i="1"/>
  <c r="M253" i="1"/>
  <c r="L253" i="1"/>
  <c r="K253" i="1"/>
  <c r="I253" i="1"/>
  <c r="H253" i="1"/>
  <c r="F253" i="1"/>
  <c r="E253" i="1"/>
  <c r="D253" i="1"/>
  <c r="C253" i="1"/>
  <c r="B253" i="1"/>
  <c r="M252" i="1"/>
  <c r="L252" i="1"/>
  <c r="K252" i="1"/>
  <c r="I252" i="1"/>
  <c r="H252" i="1"/>
  <c r="F252" i="1"/>
  <c r="E252" i="1"/>
  <c r="D252" i="1"/>
  <c r="C252" i="1"/>
  <c r="B252" i="1"/>
  <c r="M251" i="1"/>
  <c r="L251" i="1"/>
  <c r="K251" i="1"/>
  <c r="I251" i="1"/>
  <c r="H251" i="1"/>
  <c r="F251" i="1"/>
  <c r="E251" i="1"/>
  <c r="D251" i="1"/>
  <c r="C251" i="1"/>
  <c r="B251" i="1"/>
  <c r="M250" i="1"/>
  <c r="L250" i="1"/>
  <c r="K250" i="1"/>
  <c r="I250" i="1"/>
  <c r="H250" i="1"/>
  <c r="V250" i="1" s="1"/>
  <c r="F250" i="1"/>
  <c r="E250" i="1"/>
  <c r="D250" i="1"/>
  <c r="C250" i="1"/>
  <c r="B250" i="1"/>
  <c r="M249" i="1"/>
  <c r="L249" i="1"/>
  <c r="K249" i="1"/>
  <c r="I249" i="1"/>
  <c r="H249" i="1"/>
  <c r="F249" i="1"/>
  <c r="E249" i="1"/>
  <c r="D249" i="1"/>
  <c r="C249" i="1"/>
  <c r="B249" i="1"/>
  <c r="M248" i="1"/>
  <c r="L248" i="1"/>
  <c r="K248" i="1"/>
  <c r="AK248" i="1" s="1"/>
  <c r="I248" i="1"/>
  <c r="Z248" i="1" s="1"/>
  <c r="H248" i="1"/>
  <c r="F248" i="1"/>
  <c r="E248" i="1"/>
  <c r="D248" i="1"/>
  <c r="C248" i="1"/>
  <c r="B248" i="1"/>
  <c r="M247" i="1"/>
  <c r="L247" i="1"/>
  <c r="K247" i="1"/>
  <c r="I247" i="1"/>
  <c r="H247" i="1"/>
  <c r="AJ247" i="1" s="1"/>
  <c r="F247" i="1"/>
  <c r="E247" i="1"/>
  <c r="D247" i="1"/>
  <c r="C247" i="1"/>
  <c r="B247" i="1"/>
  <c r="M246" i="1"/>
  <c r="L246" i="1"/>
  <c r="K246" i="1"/>
  <c r="U246" i="1" s="1"/>
  <c r="I246" i="1"/>
  <c r="H246" i="1"/>
  <c r="F246" i="1"/>
  <c r="E246" i="1"/>
  <c r="D246" i="1"/>
  <c r="C246" i="1"/>
  <c r="B246" i="1"/>
  <c r="M245" i="1"/>
  <c r="AA245" i="1" s="1"/>
  <c r="L245" i="1"/>
  <c r="K245" i="1"/>
  <c r="I245" i="1"/>
  <c r="H245" i="1"/>
  <c r="F245" i="1"/>
  <c r="E245" i="1"/>
  <c r="D245" i="1"/>
  <c r="C245" i="1"/>
  <c r="B245" i="1"/>
  <c r="M244" i="1"/>
  <c r="L244" i="1"/>
  <c r="K244" i="1"/>
  <c r="I244" i="1"/>
  <c r="H244" i="1"/>
  <c r="F244" i="1"/>
  <c r="E244" i="1"/>
  <c r="D244" i="1"/>
  <c r="C244" i="1"/>
  <c r="B244" i="1"/>
  <c r="M243" i="1"/>
  <c r="L243" i="1"/>
  <c r="K243" i="1"/>
  <c r="I243" i="1"/>
  <c r="H243" i="1"/>
  <c r="F243" i="1"/>
  <c r="E243" i="1"/>
  <c r="D243" i="1"/>
  <c r="C243" i="1"/>
  <c r="B243" i="1"/>
  <c r="G243" i="1" s="1"/>
  <c r="M242" i="1"/>
  <c r="L242" i="1"/>
  <c r="K242" i="1"/>
  <c r="I242" i="1"/>
  <c r="H242" i="1"/>
  <c r="Z242" i="1" s="1"/>
  <c r="F242" i="1"/>
  <c r="E242" i="1"/>
  <c r="D242" i="1"/>
  <c r="C242" i="1"/>
  <c r="B242" i="1"/>
  <c r="M241" i="1"/>
  <c r="L241" i="1"/>
  <c r="K241" i="1"/>
  <c r="I241" i="1"/>
  <c r="H241" i="1"/>
  <c r="F241" i="1"/>
  <c r="E241" i="1"/>
  <c r="D241" i="1"/>
  <c r="C241" i="1"/>
  <c r="B241" i="1"/>
  <c r="Z240" i="1"/>
  <c r="M240" i="1"/>
  <c r="L240" i="1"/>
  <c r="K240" i="1"/>
  <c r="I240" i="1"/>
  <c r="H240" i="1"/>
  <c r="F240" i="1"/>
  <c r="E240" i="1"/>
  <c r="D240" i="1"/>
  <c r="C240" i="1"/>
  <c r="B240" i="1"/>
  <c r="G240" i="1" s="1"/>
  <c r="M239" i="1"/>
  <c r="L239" i="1"/>
  <c r="K239" i="1"/>
  <c r="U239" i="1" s="1"/>
  <c r="I239" i="1"/>
  <c r="H239" i="1"/>
  <c r="F239" i="1"/>
  <c r="E239" i="1"/>
  <c r="D239" i="1"/>
  <c r="C239" i="1"/>
  <c r="B239" i="1"/>
  <c r="M238" i="1"/>
  <c r="L238" i="1"/>
  <c r="K238" i="1"/>
  <c r="I238" i="1"/>
  <c r="H238" i="1"/>
  <c r="F238" i="1"/>
  <c r="E238" i="1"/>
  <c r="D238" i="1"/>
  <c r="C238" i="1"/>
  <c r="B238" i="1"/>
  <c r="M237" i="1"/>
  <c r="L237" i="1"/>
  <c r="K237" i="1"/>
  <c r="I237" i="1"/>
  <c r="H237" i="1"/>
  <c r="F237" i="1"/>
  <c r="E237" i="1"/>
  <c r="D237" i="1"/>
  <c r="C237" i="1"/>
  <c r="B237" i="1"/>
  <c r="M236" i="1"/>
  <c r="L236" i="1"/>
  <c r="K236" i="1"/>
  <c r="I236" i="1"/>
  <c r="H236" i="1"/>
  <c r="Z236" i="1" s="1"/>
  <c r="F236" i="1"/>
  <c r="E236" i="1"/>
  <c r="D236" i="1"/>
  <c r="C236" i="1"/>
  <c r="B236" i="1"/>
  <c r="M235" i="1"/>
  <c r="AK235" i="1" s="1"/>
  <c r="L235" i="1"/>
  <c r="K235" i="1"/>
  <c r="I235" i="1"/>
  <c r="H235" i="1"/>
  <c r="F235" i="1"/>
  <c r="E235" i="1"/>
  <c r="D235" i="1"/>
  <c r="C235" i="1"/>
  <c r="B235" i="1"/>
  <c r="M234" i="1"/>
  <c r="L234" i="1"/>
  <c r="K234" i="1"/>
  <c r="I234" i="1"/>
  <c r="H234" i="1"/>
  <c r="F234" i="1"/>
  <c r="E234" i="1"/>
  <c r="D234" i="1"/>
  <c r="C234" i="1"/>
  <c r="B234" i="1"/>
  <c r="M233" i="1"/>
  <c r="AA233" i="1" s="1"/>
  <c r="L233" i="1"/>
  <c r="K233" i="1"/>
  <c r="I233" i="1"/>
  <c r="H233" i="1"/>
  <c r="F233" i="1"/>
  <c r="E233" i="1"/>
  <c r="D233" i="1"/>
  <c r="C233" i="1"/>
  <c r="B233" i="1"/>
  <c r="M232" i="1"/>
  <c r="L232" i="1"/>
  <c r="K232" i="1"/>
  <c r="I232" i="1"/>
  <c r="H232" i="1"/>
  <c r="F232" i="1"/>
  <c r="E232" i="1"/>
  <c r="D232" i="1"/>
  <c r="C232" i="1"/>
  <c r="B232" i="1"/>
  <c r="M231" i="1"/>
  <c r="L231" i="1"/>
  <c r="K231" i="1"/>
  <c r="I231" i="1"/>
  <c r="H231" i="1"/>
  <c r="F231" i="1"/>
  <c r="E231" i="1"/>
  <c r="D231" i="1"/>
  <c r="C231" i="1"/>
  <c r="B231" i="1"/>
  <c r="M230" i="1"/>
  <c r="L230" i="1"/>
  <c r="K230" i="1"/>
  <c r="I230" i="1"/>
  <c r="AF230" i="1" s="1"/>
  <c r="H230" i="1"/>
  <c r="F230" i="1"/>
  <c r="E230" i="1"/>
  <c r="D230" i="1"/>
  <c r="C230" i="1"/>
  <c r="B230" i="1"/>
  <c r="M229" i="1"/>
  <c r="L229" i="1"/>
  <c r="K229" i="1"/>
  <c r="I229" i="1"/>
  <c r="H229" i="1"/>
  <c r="J229" i="1" s="1"/>
  <c r="F229" i="1"/>
  <c r="E229" i="1"/>
  <c r="D229" i="1"/>
  <c r="C229" i="1"/>
  <c r="B229" i="1"/>
  <c r="G229" i="1" s="1"/>
  <c r="M228" i="1"/>
  <c r="L228" i="1"/>
  <c r="K228" i="1"/>
  <c r="U228" i="1" s="1"/>
  <c r="I228" i="1"/>
  <c r="H228" i="1"/>
  <c r="F228" i="1"/>
  <c r="E228" i="1"/>
  <c r="D228" i="1"/>
  <c r="C228" i="1"/>
  <c r="B228" i="1"/>
  <c r="G228" i="1" s="1"/>
  <c r="Z227" i="1"/>
  <c r="M227" i="1"/>
  <c r="L227" i="1"/>
  <c r="K227" i="1"/>
  <c r="I227" i="1"/>
  <c r="H227" i="1"/>
  <c r="F227" i="1"/>
  <c r="E227" i="1"/>
  <c r="D227" i="1"/>
  <c r="C227" i="1"/>
  <c r="B227" i="1"/>
  <c r="M226" i="1"/>
  <c r="L226" i="1"/>
  <c r="K226" i="1"/>
  <c r="I226" i="1"/>
  <c r="H226" i="1"/>
  <c r="AF226" i="1" s="1"/>
  <c r="F226" i="1"/>
  <c r="E226" i="1"/>
  <c r="D226" i="1"/>
  <c r="C226" i="1"/>
  <c r="B226" i="1"/>
  <c r="M225" i="1"/>
  <c r="L225" i="1"/>
  <c r="K225" i="1"/>
  <c r="U225" i="1" s="1"/>
  <c r="I225" i="1"/>
  <c r="H225" i="1"/>
  <c r="F225" i="1"/>
  <c r="E225" i="1"/>
  <c r="D225" i="1"/>
  <c r="C225" i="1"/>
  <c r="B225" i="1"/>
  <c r="M224" i="1"/>
  <c r="L224" i="1"/>
  <c r="K224" i="1"/>
  <c r="I224" i="1"/>
  <c r="H224" i="1"/>
  <c r="F224" i="1"/>
  <c r="E224" i="1"/>
  <c r="D224" i="1"/>
  <c r="C224" i="1"/>
  <c r="B224" i="1"/>
  <c r="M223" i="1"/>
  <c r="L223" i="1"/>
  <c r="K223" i="1"/>
  <c r="I223" i="1"/>
  <c r="H223" i="1"/>
  <c r="F223" i="1"/>
  <c r="E223" i="1"/>
  <c r="D223" i="1"/>
  <c r="C223" i="1"/>
  <c r="B223" i="1"/>
  <c r="M222" i="1"/>
  <c r="L222" i="1"/>
  <c r="K222" i="1"/>
  <c r="I222" i="1"/>
  <c r="H222" i="1"/>
  <c r="F222" i="1"/>
  <c r="E222" i="1"/>
  <c r="D222" i="1"/>
  <c r="C222" i="1"/>
  <c r="B222" i="1"/>
  <c r="M221" i="1"/>
  <c r="AA221" i="1" s="1"/>
  <c r="L221" i="1"/>
  <c r="K221" i="1"/>
  <c r="U221" i="1" s="1"/>
  <c r="I221" i="1"/>
  <c r="H221" i="1"/>
  <c r="F221" i="1"/>
  <c r="E221" i="1"/>
  <c r="D221" i="1"/>
  <c r="C221" i="1"/>
  <c r="B221" i="1"/>
  <c r="M220" i="1"/>
  <c r="L220" i="1"/>
  <c r="K220" i="1"/>
  <c r="I220" i="1"/>
  <c r="H220" i="1"/>
  <c r="F220" i="1"/>
  <c r="E220" i="1"/>
  <c r="D220" i="1"/>
  <c r="C220" i="1"/>
  <c r="B220" i="1"/>
  <c r="G220" i="1" s="1"/>
  <c r="M219" i="1"/>
  <c r="L219" i="1"/>
  <c r="K219" i="1"/>
  <c r="I219" i="1"/>
  <c r="H219" i="1"/>
  <c r="AF219" i="1" s="1"/>
  <c r="F219" i="1"/>
  <c r="E219" i="1"/>
  <c r="D219" i="1"/>
  <c r="C219" i="1"/>
  <c r="B219" i="1"/>
  <c r="M218" i="1"/>
  <c r="L218" i="1"/>
  <c r="K218" i="1"/>
  <c r="I218" i="1"/>
  <c r="H218" i="1"/>
  <c r="F218" i="1"/>
  <c r="E218" i="1"/>
  <c r="D218" i="1"/>
  <c r="C218" i="1"/>
  <c r="B218" i="1"/>
  <c r="V217" i="1"/>
  <c r="M217" i="1"/>
  <c r="L217" i="1"/>
  <c r="K217" i="1"/>
  <c r="AA217" i="1" s="1"/>
  <c r="I217" i="1"/>
  <c r="H217" i="1"/>
  <c r="F217" i="1"/>
  <c r="E217" i="1"/>
  <c r="D217" i="1"/>
  <c r="C217" i="1"/>
  <c r="B217" i="1"/>
  <c r="G217" i="1" s="1"/>
  <c r="AJ216" i="1"/>
  <c r="M216" i="1"/>
  <c r="L216" i="1"/>
  <c r="K216" i="1"/>
  <c r="I216" i="1"/>
  <c r="H216" i="1"/>
  <c r="F216" i="1"/>
  <c r="E216" i="1"/>
  <c r="D216" i="1"/>
  <c r="C216" i="1"/>
  <c r="B216" i="1"/>
  <c r="M215" i="1"/>
  <c r="L215" i="1"/>
  <c r="K215" i="1"/>
  <c r="I215" i="1"/>
  <c r="H215" i="1"/>
  <c r="F215" i="1"/>
  <c r="E215" i="1"/>
  <c r="D215" i="1"/>
  <c r="C215" i="1"/>
  <c r="B215" i="1"/>
  <c r="M214" i="1"/>
  <c r="L214" i="1"/>
  <c r="K214" i="1"/>
  <c r="U214" i="1" s="1"/>
  <c r="I214" i="1"/>
  <c r="H214" i="1"/>
  <c r="Z214" i="1" s="1"/>
  <c r="F214" i="1"/>
  <c r="E214" i="1"/>
  <c r="D214" i="1"/>
  <c r="C214" i="1"/>
  <c r="B214" i="1"/>
  <c r="M213" i="1"/>
  <c r="L213" i="1"/>
  <c r="K213" i="1"/>
  <c r="I213" i="1"/>
  <c r="H213" i="1"/>
  <c r="F213" i="1"/>
  <c r="E213" i="1"/>
  <c r="D213" i="1"/>
  <c r="C213" i="1"/>
  <c r="B213" i="1"/>
  <c r="M212" i="1"/>
  <c r="L212" i="1"/>
  <c r="K212" i="1"/>
  <c r="I212" i="1"/>
  <c r="H212" i="1"/>
  <c r="F212" i="1"/>
  <c r="E212" i="1"/>
  <c r="D212" i="1"/>
  <c r="C212" i="1"/>
  <c r="B212" i="1"/>
  <c r="M211" i="1"/>
  <c r="AA211" i="1" s="1"/>
  <c r="L211" i="1"/>
  <c r="K211" i="1"/>
  <c r="I211" i="1"/>
  <c r="H211" i="1"/>
  <c r="F211" i="1"/>
  <c r="E211" i="1"/>
  <c r="D211" i="1"/>
  <c r="C211" i="1"/>
  <c r="B211" i="1"/>
  <c r="M210" i="1"/>
  <c r="L210" i="1"/>
  <c r="K210" i="1"/>
  <c r="I210" i="1"/>
  <c r="H210" i="1"/>
  <c r="F210" i="1"/>
  <c r="E210" i="1"/>
  <c r="D210" i="1"/>
  <c r="C210" i="1"/>
  <c r="B210" i="1"/>
  <c r="M209" i="1"/>
  <c r="AK209" i="1" s="1"/>
  <c r="L209" i="1"/>
  <c r="K209" i="1"/>
  <c r="I209" i="1"/>
  <c r="H209" i="1"/>
  <c r="F209" i="1"/>
  <c r="E209" i="1"/>
  <c r="D209" i="1"/>
  <c r="C209" i="1"/>
  <c r="B209" i="1"/>
  <c r="M208" i="1"/>
  <c r="L208" i="1"/>
  <c r="K208" i="1"/>
  <c r="I208" i="1"/>
  <c r="H208" i="1"/>
  <c r="F208" i="1"/>
  <c r="E208" i="1"/>
  <c r="D208" i="1"/>
  <c r="C208" i="1"/>
  <c r="B208" i="1"/>
  <c r="M207" i="1"/>
  <c r="L207" i="1"/>
  <c r="K207" i="1"/>
  <c r="I207" i="1"/>
  <c r="H207" i="1"/>
  <c r="F207" i="1"/>
  <c r="E207" i="1"/>
  <c r="D207" i="1"/>
  <c r="C207" i="1"/>
  <c r="B207" i="1"/>
  <c r="M206" i="1"/>
  <c r="L206" i="1"/>
  <c r="K206" i="1"/>
  <c r="I206" i="1"/>
  <c r="H206" i="1"/>
  <c r="F206" i="1"/>
  <c r="E206" i="1"/>
  <c r="D206" i="1"/>
  <c r="C206" i="1"/>
  <c r="B206" i="1"/>
  <c r="G206" i="1" s="1"/>
  <c r="M205" i="1"/>
  <c r="L205" i="1"/>
  <c r="K205" i="1"/>
  <c r="I205" i="1"/>
  <c r="H205" i="1"/>
  <c r="F205" i="1"/>
  <c r="E205" i="1"/>
  <c r="D205" i="1"/>
  <c r="C205" i="1"/>
  <c r="B205" i="1"/>
  <c r="M204" i="1"/>
  <c r="L204" i="1"/>
  <c r="K204" i="1"/>
  <c r="I204" i="1"/>
  <c r="H204" i="1"/>
  <c r="F204" i="1"/>
  <c r="E204" i="1"/>
  <c r="D204" i="1"/>
  <c r="C204" i="1"/>
  <c r="B204" i="1"/>
  <c r="G204" i="1" s="1"/>
  <c r="M203" i="1"/>
  <c r="L203" i="1"/>
  <c r="K203" i="1"/>
  <c r="I203" i="1"/>
  <c r="H203" i="1"/>
  <c r="F203" i="1"/>
  <c r="E203" i="1"/>
  <c r="D203" i="1"/>
  <c r="C203" i="1"/>
  <c r="B203" i="1"/>
  <c r="M202" i="1"/>
  <c r="L202" i="1"/>
  <c r="K202" i="1"/>
  <c r="I202" i="1"/>
  <c r="H202" i="1"/>
  <c r="F202" i="1"/>
  <c r="E202" i="1"/>
  <c r="D202" i="1"/>
  <c r="C202" i="1"/>
  <c r="B202" i="1"/>
  <c r="M201" i="1"/>
  <c r="AK201" i="1" s="1"/>
  <c r="L201" i="1"/>
  <c r="K201" i="1"/>
  <c r="I201" i="1"/>
  <c r="H201" i="1"/>
  <c r="F201" i="1"/>
  <c r="E201" i="1"/>
  <c r="D201" i="1"/>
  <c r="C201" i="1"/>
  <c r="B201" i="1"/>
  <c r="M200" i="1"/>
  <c r="AA200" i="1" s="1"/>
  <c r="L200" i="1"/>
  <c r="K200" i="1"/>
  <c r="I200" i="1"/>
  <c r="H200" i="1"/>
  <c r="F200" i="1"/>
  <c r="E200" i="1"/>
  <c r="D200" i="1"/>
  <c r="C200" i="1"/>
  <c r="B200" i="1"/>
  <c r="M199" i="1"/>
  <c r="L199" i="1"/>
  <c r="K199" i="1"/>
  <c r="I199" i="1"/>
  <c r="H199" i="1"/>
  <c r="F199" i="1"/>
  <c r="E199" i="1"/>
  <c r="D199" i="1"/>
  <c r="C199" i="1"/>
  <c r="B199" i="1"/>
  <c r="M198" i="1"/>
  <c r="L198" i="1"/>
  <c r="K198" i="1"/>
  <c r="I198" i="1"/>
  <c r="H198" i="1"/>
  <c r="F198" i="1"/>
  <c r="E198" i="1"/>
  <c r="D198" i="1"/>
  <c r="C198" i="1"/>
  <c r="B198" i="1"/>
  <c r="M197" i="1"/>
  <c r="L197" i="1"/>
  <c r="K197" i="1"/>
  <c r="U197" i="1" s="1"/>
  <c r="I197" i="1"/>
  <c r="H197" i="1"/>
  <c r="F197" i="1"/>
  <c r="E197" i="1"/>
  <c r="D197" i="1"/>
  <c r="C197" i="1"/>
  <c r="B197" i="1"/>
  <c r="M196" i="1"/>
  <c r="L196" i="1"/>
  <c r="K196" i="1"/>
  <c r="I196" i="1"/>
  <c r="H196" i="1"/>
  <c r="F196" i="1"/>
  <c r="E196" i="1"/>
  <c r="D196" i="1"/>
  <c r="C196" i="1"/>
  <c r="B196" i="1"/>
  <c r="M195" i="1"/>
  <c r="L195" i="1"/>
  <c r="K195" i="1"/>
  <c r="I195" i="1"/>
  <c r="H195" i="1"/>
  <c r="F195" i="1"/>
  <c r="E195" i="1"/>
  <c r="D195" i="1"/>
  <c r="C195" i="1"/>
  <c r="B195" i="1"/>
  <c r="M194" i="1"/>
  <c r="L194" i="1"/>
  <c r="K194" i="1"/>
  <c r="I194" i="1"/>
  <c r="H194" i="1"/>
  <c r="F194" i="1"/>
  <c r="E194" i="1"/>
  <c r="D194" i="1"/>
  <c r="C194" i="1"/>
  <c r="B194" i="1"/>
  <c r="AE193" i="1"/>
  <c r="M193" i="1"/>
  <c r="L193" i="1"/>
  <c r="K193" i="1"/>
  <c r="U193" i="1" s="1"/>
  <c r="I193" i="1"/>
  <c r="H193" i="1"/>
  <c r="F193" i="1"/>
  <c r="E193" i="1"/>
  <c r="D193" i="1"/>
  <c r="C193" i="1"/>
  <c r="B193" i="1"/>
  <c r="M192" i="1"/>
  <c r="L192" i="1"/>
  <c r="K192" i="1"/>
  <c r="I192" i="1"/>
  <c r="AJ192" i="1" s="1"/>
  <c r="H192" i="1"/>
  <c r="F192" i="1"/>
  <c r="E192" i="1"/>
  <c r="D192" i="1"/>
  <c r="C192" i="1"/>
  <c r="B192" i="1"/>
  <c r="M191" i="1"/>
  <c r="L191" i="1"/>
  <c r="K191" i="1"/>
  <c r="I191" i="1"/>
  <c r="H191" i="1"/>
  <c r="F191" i="1"/>
  <c r="E191" i="1"/>
  <c r="D191" i="1"/>
  <c r="C191" i="1"/>
  <c r="B191" i="1"/>
  <c r="M190" i="1"/>
  <c r="L190" i="1"/>
  <c r="K190" i="1"/>
  <c r="I190" i="1"/>
  <c r="H190" i="1"/>
  <c r="F190" i="1"/>
  <c r="E190" i="1"/>
  <c r="D190" i="1"/>
  <c r="C190" i="1"/>
  <c r="B190" i="1"/>
  <c r="M189" i="1"/>
  <c r="L189" i="1"/>
  <c r="K189" i="1"/>
  <c r="I189" i="1"/>
  <c r="H189" i="1"/>
  <c r="F189" i="1"/>
  <c r="E189" i="1"/>
  <c r="D189" i="1"/>
  <c r="C189" i="1"/>
  <c r="B189" i="1"/>
  <c r="M188" i="1"/>
  <c r="L188" i="1"/>
  <c r="K188" i="1"/>
  <c r="I188" i="1"/>
  <c r="H188" i="1"/>
  <c r="F188" i="1"/>
  <c r="E188" i="1"/>
  <c r="D188" i="1"/>
  <c r="C188" i="1"/>
  <c r="B188" i="1"/>
  <c r="M187" i="1"/>
  <c r="L187" i="1"/>
  <c r="K187" i="1"/>
  <c r="I187" i="1"/>
  <c r="H187" i="1"/>
  <c r="F187" i="1"/>
  <c r="E187" i="1"/>
  <c r="D187" i="1"/>
  <c r="C187" i="1"/>
  <c r="B187" i="1"/>
  <c r="M186" i="1"/>
  <c r="L186" i="1"/>
  <c r="K186" i="1"/>
  <c r="I186" i="1"/>
  <c r="H186" i="1"/>
  <c r="F186" i="1"/>
  <c r="E186" i="1"/>
  <c r="D186" i="1"/>
  <c r="C186" i="1"/>
  <c r="B186" i="1"/>
  <c r="M185" i="1"/>
  <c r="L185" i="1"/>
  <c r="K185" i="1"/>
  <c r="U185" i="1" s="1"/>
  <c r="I185" i="1"/>
  <c r="H185" i="1"/>
  <c r="F185" i="1"/>
  <c r="E185" i="1"/>
  <c r="D185" i="1"/>
  <c r="C185" i="1"/>
  <c r="B185" i="1"/>
  <c r="M184" i="1"/>
  <c r="L184" i="1"/>
  <c r="K184" i="1"/>
  <c r="I184" i="1"/>
  <c r="H184" i="1"/>
  <c r="F184" i="1"/>
  <c r="E184" i="1"/>
  <c r="D184" i="1"/>
  <c r="C184" i="1"/>
  <c r="B184" i="1"/>
  <c r="M183" i="1"/>
  <c r="L183" i="1"/>
  <c r="K183" i="1"/>
  <c r="I183" i="1"/>
  <c r="H183" i="1"/>
  <c r="F183" i="1"/>
  <c r="E183" i="1"/>
  <c r="D183" i="1"/>
  <c r="C183" i="1"/>
  <c r="B183" i="1"/>
  <c r="M182" i="1"/>
  <c r="L182" i="1"/>
  <c r="K182" i="1"/>
  <c r="I182" i="1"/>
  <c r="H182" i="1"/>
  <c r="V182" i="1" s="1"/>
  <c r="F182" i="1"/>
  <c r="E182" i="1"/>
  <c r="D182" i="1"/>
  <c r="C182" i="1"/>
  <c r="B182" i="1"/>
  <c r="M181" i="1"/>
  <c r="L181" i="1"/>
  <c r="K181" i="1"/>
  <c r="I181" i="1"/>
  <c r="H181" i="1"/>
  <c r="F181" i="1"/>
  <c r="E181" i="1"/>
  <c r="D181" i="1"/>
  <c r="C181" i="1"/>
  <c r="B181" i="1"/>
  <c r="M180" i="1"/>
  <c r="L180" i="1"/>
  <c r="K180" i="1"/>
  <c r="I180" i="1"/>
  <c r="H180" i="1"/>
  <c r="F180" i="1"/>
  <c r="E180" i="1"/>
  <c r="D180" i="1"/>
  <c r="C180" i="1"/>
  <c r="B180" i="1"/>
  <c r="M179" i="1"/>
  <c r="L179" i="1"/>
  <c r="K179" i="1"/>
  <c r="I179" i="1"/>
  <c r="AJ179" i="1" s="1"/>
  <c r="H179" i="1"/>
  <c r="F179" i="1"/>
  <c r="E179" i="1"/>
  <c r="D179" i="1"/>
  <c r="C179" i="1"/>
  <c r="B179" i="1"/>
  <c r="M178" i="1"/>
  <c r="L178" i="1"/>
  <c r="AE178" i="1" s="1"/>
  <c r="K178" i="1"/>
  <c r="I178" i="1"/>
  <c r="H178" i="1"/>
  <c r="F178" i="1"/>
  <c r="E178" i="1"/>
  <c r="D178" i="1"/>
  <c r="C178" i="1"/>
  <c r="B178" i="1"/>
  <c r="G178" i="1" s="1"/>
  <c r="M177" i="1"/>
  <c r="L177" i="1"/>
  <c r="K177" i="1"/>
  <c r="U177" i="1" s="1"/>
  <c r="I177" i="1"/>
  <c r="H177" i="1"/>
  <c r="F177" i="1"/>
  <c r="E177" i="1"/>
  <c r="D177" i="1"/>
  <c r="C177" i="1"/>
  <c r="B177" i="1"/>
  <c r="G177" i="1" s="1"/>
  <c r="M176" i="1"/>
  <c r="L176" i="1"/>
  <c r="K176" i="1"/>
  <c r="I176" i="1"/>
  <c r="H176" i="1"/>
  <c r="F176" i="1"/>
  <c r="E176" i="1"/>
  <c r="D176" i="1"/>
  <c r="C176" i="1"/>
  <c r="B176" i="1"/>
  <c r="M175" i="1"/>
  <c r="L175" i="1"/>
  <c r="K175" i="1"/>
  <c r="I175" i="1"/>
  <c r="H175" i="1"/>
  <c r="J175" i="1" s="1"/>
  <c r="F175" i="1"/>
  <c r="E175" i="1"/>
  <c r="D175" i="1"/>
  <c r="C175" i="1"/>
  <c r="B175" i="1"/>
  <c r="M174" i="1"/>
  <c r="L174" i="1"/>
  <c r="K174" i="1"/>
  <c r="I174" i="1"/>
  <c r="H174" i="1"/>
  <c r="F174" i="1"/>
  <c r="E174" i="1"/>
  <c r="D174" i="1"/>
  <c r="C174" i="1"/>
  <c r="B174" i="1"/>
  <c r="Z173" i="1"/>
  <c r="M173" i="1"/>
  <c r="L173" i="1"/>
  <c r="K173" i="1"/>
  <c r="I173" i="1"/>
  <c r="H173" i="1"/>
  <c r="F173" i="1"/>
  <c r="E173" i="1"/>
  <c r="D173" i="1"/>
  <c r="C173" i="1"/>
  <c r="B173" i="1"/>
  <c r="M172" i="1"/>
  <c r="AA172" i="1" s="1"/>
  <c r="L172" i="1"/>
  <c r="K172" i="1"/>
  <c r="I172" i="1"/>
  <c r="H172" i="1"/>
  <c r="F172" i="1"/>
  <c r="E172" i="1"/>
  <c r="D172" i="1"/>
  <c r="C172" i="1"/>
  <c r="B172" i="1"/>
  <c r="M171" i="1"/>
  <c r="L171" i="1"/>
  <c r="K171" i="1"/>
  <c r="I171" i="1"/>
  <c r="H171" i="1"/>
  <c r="F171" i="1"/>
  <c r="E171" i="1"/>
  <c r="D171" i="1"/>
  <c r="C171" i="1"/>
  <c r="B171" i="1"/>
  <c r="M170" i="1"/>
  <c r="L170" i="1"/>
  <c r="K170" i="1"/>
  <c r="I170" i="1"/>
  <c r="H170" i="1"/>
  <c r="F170" i="1"/>
  <c r="E170" i="1"/>
  <c r="D170" i="1"/>
  <c r="C170" i="1"/>
  <c r="B170" i="1"/>
  <c r="M169" i="1"/>
  <c r="L169" i="1"/>
  <c r="K169" i="1"/>
  <c r="I169" i="1"/>
  <c r="H169" i="1"/>
  <c r="F169" i="1"/>
  <c r="E169" i="1"/>
  <c r="D169" i="1"/>
  <c r="C169" i="1"/>
  <c r="B169" i="1"/>
  <c r="M168" i="1"/>
  <c r="AA168" i="1" s="1"/>
  <c r="L168" i="1"/>
  <c r="K168" i="1"/>
  <c r="I168" i="1"/>
  <c r="H168" i="1"/>
  <c r="F168" i="1"/>
  <c r="E168" i="1"/>
  <c r="D168" i="1"/>
  <c r="C168" i="1"/>
  <c r="B168" i="1"/>
  <c r="M167" i="1"/>
  <c r="L167" i="1"/>
  <c r="K167" i="1"/>
  <c r="I167" i="1"/>
  <c r="H167" i="1"/>
  <c r="F167" i="1"/>
  <c r="E167" i="1"/>
  <c r="D167" i="1"/>
  <c r="C167" i="1"/>
  <c r="B167" i="1"/>
  <c r="G167" i="1" s="1"/>
  <c r="M166" i="1"/>
  <c r="L166" i="1"/>
  <c r="K166" i="1"/>
  <c r="I166" i="1"/>
  <c r="H166" i="1"/>
  <c r="AJ166" i="1" s="1"/>
  <c r="F166" i="1"/>
  <c r="E166" i="1"/>
  <c r="D166" i="1"/>
  <c r="C166" i="1"/>
  <c r="B166" i="1"/>
  <c r="AK165" i="1"/>
  <c r="M165" i="1"/>
  <c r="L165" i="1"/>
  <c r="K165" i="1"/>
  <c r="I165" i="1"/>
  <c r="H165" i="1"/>
  <c r="J165" i="1" s="1"/>
  <c r="F165" i="1"/>
  <c r="E165" i="1"/>
  <c r="D165" i="1"/>
  <c r="C165" i="1"/>
  <c r="B165" i="1"/>
  <c r="M164" i="1"/>
  <c r="L164" i="1"/>
  <c r="K164" i="1"/>
  <c r="AA164" i="1" s="1"/>
  <c r="I164" i="1"/>
  <c r="H164" i="1"/>
  <c r="F164" i="1"/>
  <c r="E164" i="1"/>
  <c r="D164" i="1"/>
  <c r="C164" i="1"/>
  <c r="B164" i="1"/>
  <c r="M163" i="1"/>
  <c r="L163" i="1"/>
  <c r="K163" i="1"/>
  <c r="I163" i="1"/>
  <c r="H163" i="1"/>
  <c r="F163" i="1"/>
  <c r="E163" i="1"/>
  <c r="D163" i="1"/>
  <c r="C163" i="1"/>
  <c r="B163" i="1"/>
  <c r="M162" i="1"/>
  <c r="L162" i="1"/>
  <c r="K162" i="1"/>
  <c r="I162" i="1"/>
  <c r="H162" i="1"/>
  <c r="F162" i="1"/>
  <c r="E162" i="1"/>
  <c r="D162" i="1"/>
  <c r="C162" i="1"/>
  <c r="B162" i="1"/>
  <c r="M161" i="1"/>
  <c r="L161" i="1"/>
  <c r="K161" i="1"/>
  <c r="I161" i="1"/>
  <c r="H161" i="1"/>
  <c r="F161" i="1"/>
  <c r="E161" i="1"/>
  <c r="D161" i="1"/>
  <c r="C161" i="1"/>
  <c r="B161" i="1"/>
  <c r="M160" i="1"/>
  <c r="L160" i="1"/>
  <c r="K160" i="1"/>
  <c r="I160" i="1"/>
  <c r="H160" i="1"/>
  <c r="F160" i="1"/>
  <c r="E160" i="1"/>
  <c r="D160" i="1"/>
  <c r="C160" i="1"/>
  <c r="B160" i="1"/>
  <c r="M159" i="1"/>
  <c r="L159" i="1"/>
  <c r="K159" i="1"/>
  <c r="I159" i="1"/>
  <c r="H159" i="1"/>
  <c r="F159" i="1"/>
  <c r="E159" i="1"/>
  <c r="D159" i="1"/>
  <c r="C159" i="1"/>
  <c r="B159" i="1"/>
  <c r="M158" i="1"/>
  <c r="L158" i="1"/>
  <c r="K158" i="1"/>
  <c r="I158" i="1"/>
  <c r="H158" i="1"/>
  <c r="F158" i="1"/>
  <c r="E158" i="1"/>
  <c r="D158" i="1"/>
  <c r="C158" i="1"/>
  <c r="B158" i="1"/>
  <c r="M157" i="1"/>
  <c r="L157" i="1"/>
  <c r="K157" i="1"/>
  <c r="I157" i="1"/>
  <c r="H157" i="1"/>
  <c r="F157" i="1"/>
  <c r="E157" i="1"/>
  <c r="D157" i="1"/>
  <c r="C157" i="1"/>
  <c r="B157" i="1"/>
  <c r="M156" i="1"/>
  <c r="L156" i="1"/>
  <c r="K156" i="1"/>
  <c r="I156" i="1"/>
  <c r="H156" i="1"/>
  <c r="F156" i="1"/>
  <c r="E156" i="1"/>
  <c r="D156" i="1"/>
  <c r="C156" i="1"/>
  <c r="B156" i="1"/>
  <c r="G156" i="1" s="1"/>
  <c r="M155" i="1"/>
  <c r="L155" i="1"/>
  <c r="K155" i="1"/>
  <c r="I155" i="1"/>
  <c r="H155" i="1"/>
  <c r="F155" i="1"/>
  <c r="E155" i="1"/>
  <c r="D155" i="1"/>
  <c r="C155" i="1"/>
  <c r="B155" i="1"/>
  <c r="M154" i="1"/>
  <c r="L154" i="1"/>
  <c r="K154" i="1"/>
  <c r="I154" i="1"/>
  <c r="H154" i="1"/>
  <c r="F154" i="1"/>
  <c r="E154" i="1"/>
  <c r="D154" i="1"/>
  <c r="C154" i="1"/>
  <c r="B154" i="1"/>
  <c r="M153" i="1"/>
  <c r="L153" i="1"/>
  <c r="K153" i="1"/>
  <c r="I153" i="1"/>
  <c r="H153" i="1"/>
  <c r="F153" i="1"/>
  <c r="E153" i="1"/>
  <c r="D153" i="1"/>
  <c r="C153" i="1"/>
  <c r="B153" i="1"/>
  <c r="M152" i="1"/>
  <c r="L152" i="1"/>
  <c r="K152" i="1"/>
  <c r="I152" i="1"/>
  <c r="H152" i="1"/>
  <c r="F152" i="1"/>
  <c r="E152" i="1"/>
  <c r="D152" i="1"/>
  <c r="C152" i="1"/>
  <c r="B152" i="1"/>
  <c r="M151" i="1"/>
  <c r="L151" i="1"/>
  <c r="K151" i="1"/>
  <c r="I151" i="1"/>
  <c r="H151" i="1"/>
  <c r="F151" i="1"/>
  <c r="E151" i="1"/>
  <c r="D151" i="1"/>
  <c r="C151" i="1"/>
  <c r="B151" i="1"/>
  <c r="M150" i="1"/>
  <c r="L150" i="1"/>
  <c r="K150" i="1"/>
  <c r="I150" i="1"/>
  <c r="H150" i="1"/>
  <c r="F150" i="1"/>
  <c r="E150" i="1"/>
  <c r="D150" i="1"/>
  <c r="C150" i="1"/>
  <c r="B150" i="1"/>
  <c r="M149" i="1"/>
  <c r="L149" i="1"/>
  <c r="K149" i="1"/>
  <c r="I149" i="1"/>
  <c r="H149" i="1"/>
  <c r="F149" i="1"/>
  <c r="E149" i="1"/>
  <c r="D149" i="1"/>
  <c r="C149" i="1"/>
  <c r="B149" i="1"/>
  <c r="M148" i="1"/>
  <c r="L148" i="1"/>
  <c r="K148" i="1"/>
  <c r="AA148" i="1" s="1"/>
  <c r="I148" i="1"/>
  <c r="H148" i="1"/>
  <c r="F148" i="1"/>
  <c r="E148" i="1"/>
  <c r="D148" i="1"/>
  <c r="C148" i="1"/>
  <c r="B148" i="1"/>
  <c r="M147" i="1"/>
  <c r="L147" i="1"/>
  <c r="K147" i="1"/>
  <c r="I147" i="1"/>
  <c r="H147" i="1"/>
  <c r="F147" i="1"/>
  <c r="E147" i="1"/>
  <c r="D147" i="1"/>
  <c r="C147" i="1"/>
  <c r="B147" i="1"/>
  <c r="M146" i="1"/>
  <c r="L146" i="1"/>
  <c r="K146" i="1"/>
  <c r="I146" i="1"/>
  <c r="H146" i="1"/>
  <c r="F146" i="1"/>
  <c r="E146" i="1"/>
  <c r="D146" i="1"/>
  <c r="C146" i="1"/>
  <c r="B146" i="1"/>
  <c r="M145" i="1"/>
  <c r="L145" i="1"/>
  <c r="K145" i="1"/>
  <c r="I145" i="1"/>
  <c r="H145" i="1"/>
  <c r="F145" i="1"/>
  <c r="E145" i="1"/>
  <c r="D145" i="1"/>
  <c r="C145" i="1"/>
  <c r="B145" i="1"/>
  <c r="G145" i="1" s="1"/>
  <c r="M144" i="1"/>
  <c r="L144" i="1"/>
  <c r="K144" i="1"/>
  <c r="I144" i="1"/>
  <c r="H144" i="1"/>
  <c r="F144" i="1"/>
  <c r="E144" i="1"/>
  <c r="D144" i="1"/>
  <c r="C144" i="1"/>
  <c r="B144" i="1"/>
  <c r="M143" i="1"/>
  <c r="L143" i="1"/>
  <c r="K143" i="1"/>
  <c r="I143" i="1"/>
  <c r="V143" i="1" s="1"/>
  <c r="H143" i="1"/>
  <c r="F143" i="1"/>
  <c r="E143" i="1"/>
  <c r="D143" i="1"/>
  <c r="C143" i="1"/>
  <c r="B143" i="1"/>
  <c r="M142" i="1"/>
  <c r="L142" i="1"/>
  <c r="K142" i="1"/>
  <c r="I142" i="1"/>
  <c r="H142" i="1"/>
  <c r="F142" i="1"/>
  <c r="E142" i="1"/>
  <c r="D142" i="1"/>
  <c r="C142" i="1"/>
  <c r="B142" i="1"/>
  <c r="M141" i="1"/>
  <c r="L141" i="1"/>
  <c r="K141" i="1"/>
  <c r="I141" i="1"/>
  <c r="H141" i="1"/>
  <c r="F141" i="1"/>
  <c r="E141" i="1"/>
  <c r="D141" i="1"/>
  <c r="C141" i="1"/>
  <c r="B141" i="1"/>
  <c r="M140" i="1"/>
  <c r="L140" i="1"/>
  <c r="K140" i="1"/>
  <c r="I140" i="1"/>
  <c r="H140" i="1"/>
  <c r="F140" i="1"/>
  <c r="E140" i="1"/>
  <c r="D140" i="1"/>
  <c r="C140" i="1"/>
  <c r="B140" i="1"/>
  <c r="M139" i="1"/>
  <c r="L139" i="1"/>
  <c r="K139" i="1"/>
  <c r="U139" i="1" s="1"/>
  <c r="I139" i="1"/>
  <c r="H139" i="1"/>
  <c r="F139" i="1"/>
  <c r="E139" i="1"/>
  <c r="D139" i="1"/>
  <c r="C139" i="1"/>
  <c r="B139" i="1"/>
  <c r="M138" i="1"/>
  <c r="L138" i="1"/>
  <c r="K138" i="1"/>
  <c r="I138" i="1"/>
  <c r="H138" i="1"/>
  <c r="F138" i="1"/>
  <c r="E138" i="1"/>
  <c r="D138" i="1"/>
  <c r="C138" i="1"/>
  <c r="B138" i="1"/>
  <c r="M137" i="1"/>
  <c r="L137" i="1"/>
  <c r="K137" i="1"/>
  <c r="I137" i="1"/>
  <c r="H137" i="1"/>
  <c r="F137" i="1"/>
  <c r="E137" i="1"/>
  <c r="D137" i="1"/>
  <c r="C137" i="1"/>
  <c r="B137" i="1"/>
  <c r="M136" i="1"/>
  <c r="L136" i="1"/>
  <c r="K136" i="1"/>
  <c r="I136" i="1"/>
  <c r="H136" i="1"/>
  <c r="F136" i="1"/>
  <c r="E136" i="1"/>
  <c r="D136" i="1"/>
  <c r="C136" i="1"/>
  <c r="B136" i="1"/>
  <c r="M135" i="1"/>
  <c r="L135" i="1"/>
  <c r="K135" i="1"/>
  <c r="I135" i="1"/>
  <c r="H135" i="1"/>
  <c r="F135" i="1"/>
  <c r="E135" i="1"/>
  <c r="D135" i="1"/>
  <c r="C135" i="1"/>
  <c r="B135" i="1"/>
  <c r="M134" i="1"/>
  <c r="L134" i="1"/>
  <c r="K134" i="1"/>
  <c r="I134" i="1"/>
  <c r="H134" i="1"/>
  <c r="F134" i="1"/>
  <c r="E134" i="1"/>
  <c r="D134" i="1"/>
  <c r="C134" i="1"/>
  <c r="B134" i="1"/>
  <c r="M133" i="1"/>
  <c r="L133" i="1"/>
  <c r="K133" i="1"/>
  <c r="I133" i="1"/>
  <c r="H133" i="1"/>
  <c r="Z133" i="1" s="1"/>
  <c r="F133" i="1"/>
  <c r="E133" i="1"/>
  <c r="D133" i="1"/>
  <c r="C133" i="1"/>
  <c r="B133" i="1"/>
  <c r="M132" i="1"/>
  <c r="L132" i="1"/>
  <c r="K132" i="1"/>
  <c r="U132" i="1" s="1"/>
  <c r="I132" i="1"/>
  <c r="H132" i="1"/>
  <c r="F132" i="1"/>
  <c r="E132" i="1"/>
  <c r="D132" i="1"/>
  <c r="C132" i="1"/>
  <c r="B132" i="1"/>
  <c r="M131" i="1"/>
  <c r="L131" i="1"/>
  <c r="K131" i="1"/>
  <c r="I131" i="1"/>
  <c r="V131" i="1" s="1"/>
  <c r="H131" i="1"/>
  <c r="F131" i="1"/>
  <c r="E131" i="1"/>
  <c r="D131" i="1"/>
  <c r="C131" i="1"/>
  <c r="B131" i="1"/>
  <c r="M130" i="1"/>
  <c r="L130" i="1"/>
  <c r="K130" i="1"/>
  <c r="I130" i="1"/>
  <c r="H130" i="1"/>
  <c r="F130" i="1"/>
  <c r="E130" i="1"/>
  <c r="D130" i="1"/>
  <c r="C130" i="1"/>
  <c r="B130" i="1"/>
  <c r="M129" i="1"/>
  <c r="L129" i="1"/>
  <c r="K129" i="1"/>
  <c r="I129" i="1"/>
  <c r="H129" i="1"/>
  <c r="F129" i="1"/>
  <c r="E129" i="1"/>
  <c r="D129" i="1"/>
  <c r="C129" i="1"/>
  <c r="B129" i="1"/>
  <c r="G129" i="1" s="1"/>
  <c r="M128" i="1"/>
  <c r="L128" i="1"/>
  <c r="K128" i="1"/>
  <c r="AA128" i="1" s="1"/>
  <c r="I128" i="1"/>
  <c r="H128" i="1"/>
  <c r="F128" i="1"/>
  <c r="E128" i="1"/>
  <c r="D128" i="1"/>
  <c r="C128" i="1"/>
  <c r="B128" i="1"/>
  <c r="M127" i="1"/>
  <c r="L127" i="1"/>
  <c r="K127" i="1"/>
  <c r="I127" i="1"/>
  <c r="H127" i="1"/>
  <c r="F127" i="1"/>
  <c r="E127" i="1"/>
  <c r="D127" i="1"/>
  <c r="C127" i="1"/>
  <c r="B127" i="1"/>
  <c r="M126" i="1"/>
  <c r="L126" i="1"/>
  <c r="K126" i="1"/>
  <c r="I126" i="1"/>
  <c r="H126" i="1"/>
  <c r="V126" i="1" s="1"/>
  <c r="F126" i="1"/>
  <c r="E126" i="1"/>
  <c r="D126" i="1"/>
  <c r="C126" i="1"/>
  <c r="B126" i="1"/>
  <c r="M125" i="1"/>
  <c r="L125" i="1"/>
  <c r="K125" i="1"/>
  <c r="I125" i="1"/>
  <c r="H125" i="1"/>
  <c r="F125" i="1"/>
  <c r="E125" i="1"/>
  <c r="D125" i="1"/>
  <c r="C125" i="1"/>
  <c r="B125" i="1"/>
  <c r="M124" i="1"/>
  <c r="L124" i="1"/>
  <c r="K124" i="1"/>
  <c r="I124" i="1"/>
  <c r="H124" i="1"/>
  <c r="F124" i="1"/>
  <c r="E124" i="1"/>
  <c r="D124" i="1"/>
  <c r="C124" i="1"/>
  <c r="B124" i="1"/>
  <c r="M123" i="1"/>
  <c r="L123" i="1"/>
  <c r="K123" i="1"/>
  <c r="I123" i="1"/>
  <c r="H123" i="1"/>
  <c r="F123" i="1"/>
  <c r="E123" i="1"/>
  <c r="D123" i="1"/>
  <c r="C123" i="1"/>
  <c r="B123" i="1"/>
  <c r="M122" i="1"/>
  <c r="L122" i="1"/>
  <c r="K122" i="1"/>
  <c r="I122" i="1"/>
  <c r="H122" i="1"/>
  <c r="F122" i="1"/>
  <c r="E122" i="1"/>
  <c r="D122" i="1"/>
  <c r="C122" i="1"/>
  <c r="B122" i="1"/>
  <c r="M121" i="1"/>
  <c r="L121" i="1"/>
  <c r="K121" i="1"/>
  <c r="I121" i="1"/>
  <c r="H121" i="1"/>
  <c r="F121" i="1"/>
  <c r="E121" i="1"/>
  <c r="D121" i="1"/>
  <c r="C121" i="1"/>
  <c r="B121" i="1"/>
  <c r="M120" i="1"/>
  <c r="L120" i="1"/>
  <c r="K120" i="1"/>
  <c r="I120" i="1"/>
  <c r="H120" i="1"/>
  <c r="F120" i="1"/>
  <c r="E120" i="1"/>
  <c r="D120" i="1"/>
  <c r="C120" i="1"/>
  <c r="B120" i="1"/>
  <c r="M119" i="1"/>
  <c r="L119" i="1"/>
  <c r="K119" i="1"/>
  <c r="U119" i="1" s="1"/>
  <c r="I119" i="1"/>
  <c r="H119" i="1"/>
  <c r="F119" i="1"/>
  <c r="E119" i="1"/>
  <c r="D119" i="1"/>
  <c r="C119" i="1"/>
  <c r="B119" i="1"/>
  <c r="M118" i="1"/>
  <c r="L118" i="1"/>
  <c r="K118" i="1"/>
  <c r="I118" i="1"/>
  <c r="H118" i="1"/>
  <c r="F118" i="1"/>
  <c r="E118" i="1"/>
  <c r="D118" i="1"/>
  <c r="C118" i="1"/>
  <c r="B118" i="1"/>
  <c r="M117" i="1"/>
  <c r="L117" i="1"/>
  <c r="K117" i="1"/>
  <c r="I117" i="1"/>
  <c r="H117" i="1"/>
  <c r="F117" i="1"/>
  <c r="E117" i="1"/>
  <c r="D117" i="1"/>
  <c r="C117" i="1"/>
  <c r="B117" i="1"/>
  <c r="M116" i="1"/>
  <c r="L116" i="1"/>
  <c r="K116" i="1"/>
  <c r="U116" i="1" s="1"/>
  <c r="I116" i="1"/>
  <c r="H116" i="1"/>
  <c r="Z116" i="1" s="1"/>
  <c r="F116" i="1"/>
  <c r="E116" i="1"/>
  <c r="D116" i="1"/>
  <c r="C116" i="1"/>
  <c r="B116" i="1"/>
  <c r="M115" i="1"/>
  <c r="L115" i="1"/>
  <c r="K115" i="1"/>
  <c r="I115" i="1"/>
  <c r="H115" i="1"/>
  <c r="F115" i="1"/>
  <c r="E115" i="1"/>
  <c r="D115" i="1"/>
  <c r="C115" i="1"/>
  <c r="B115" i="1"/>
  <c r="M114" i="1"/>
  <c r="L114" i="1"/>
  <c r="K114" i="1"/>
  <c r="I114" i="1"/>
  <c r="H114" i="1"/>
  <c r="F114" i="1"/>
  <c r="E114" i="1"/>
  <c r="D114" i="1"/>
  <c r="C114" i="1"/>
  <c r="B114" i="1"/>
  <c r="G114" i="1" s="1"/>
  <c r="M113" i="1"/>
  <c r="L113" i="1"/>
  <c r="K113" i="1"/>
  <c r="AE113" i="1" s="1"/>
  <c r="I113" i="1"/>
  <c r="H113" i="1"/>
  <c r="F113" i="1"/>
  <c r="E113" i="1"/>
  <c r="D113" i="1"/>
  <c r="C113" i="1"/>
  <c r="B113" i="1"/>
  <c r="M112" i="1"/>
  <c r="L112" i="1"/>
  <c r="K112" i="1"/>
  <c r="I112" i="1"/>
  <c r="H112" i="1"/>
  <c r="F112" i="1"/>
  <c r="E112" i="1"/>
  <c r="D112" i="1"/>
  <c r="C112" i="1"/>
  <c r="B112" i="1"/>
  <c r="M111" i="1"/>
  <c r="L111" i="1"/>
  <c r="K111" i="1"/>
  <c r="I111" i="1"/>
  <c r="J111" i="1" s="1"/>
  <c r="H111" i="1"/>
  <c r="F111" i="1"/>
  <c r="E111" i="1"/>
  <c r="D111" i="1"/>
  <c r="C111" i="1"/>
  <c r="B111" i="1"/>
  <c r="M110" i="1"/>
  <c r="L110" i="1"/>
  <c r="K110" i="1"/>
  <c r="I110" i="1"/>
  <c r="H110" i="1"/>
  <c r="F110" i="1"/>
  <c r="E110" i="1"/>
  <c r="D110" i="1"/>
  <c r="C110" i="1"/>
  <c r="B110" i="1"/>
  <c r="M109" i="1"/>
  <c r="L109" i="1"/>
  <c r="K109" i="1"/>
  <c r="I109" i="1"/>
  <c r="H109" i="1"/>
  <c r="F109" i="1"/>
  <c r="E109" i="1"/>
  <c r="D109" i="1"/>
  <c r="C109" i="1"/>
  <c r="B109" i="1"/>
  <c r="M108" i="1"/>
  <c r="L108" i="1"/>
  <c r="K108" i="1"/>
  <c r="I108" i="1"/>
  <c r="H108" i="1"/>
  <c r="F108" i="1"/>
  <c r="E108" i="1"/>
  <c r="D108" i="1"/>
  <c r="C108" i="1"/>
  <c r="B108" i="1"/>
  <c r="M107" i="1"/>
  <c r="L107" i="1"/>
  <c r="K107" i="1"/>
  <c r="I107" i="1"/>
  <c r="H107" i="1"/>
  <c r="F107" i="1"/>
  <c r="E107" i="1"/>
  <c r="D107" i="1"/>
  <c r="C107" i="1"/>
  <c r="B107" i="1"/>
  <c r="M106" i="1"/>
  <c r="L106" i="1"/>
  <c r="K106" i="1"/>
  <c r="I106" i="1"/>
  <c r="H106" i="1"/>
  <c r="AJ106" i="1" s="1"/>
  <c r="F106" i="1"/>
  <c r="E106" i="1"/>
  <c r="D106" i="1"/>
  <c r="C106" i="1"/>
  <c r="B106" i="1"/>
  <c r="M105" i="1"/>
  <c r="L105" i="1"/>
  <c r="K105" i="1"/>
  <c r="I105" i="1"/>
  <c r="H105" i="1"/>
  <c r="F105" i="1"/>
  <c r="E105" i="1"/>
  <c r="D105" i="1"/>
  <c r="C105" i="1"/>
  <c r="B105" i="1"/>
  <c r="M104" i="1"/>
  <c r="L104" i="1"/>
  <c r="K104" i="1"/>
  <c r="AA104" i="1" s="1"/>
  <c r="I104" i="1"/>
  <c r="H104" i="1"/>
  <c r="AJ104" i="1" s="1"/>
  <c r="F104" i="1"/>
  <c r="E104" i="1"/>
  <c r="D104" i="1"/>
  <c r="C104" i="1"/>
  <c r="B104" i="1"/>
  <c r="M103" i="1"/>
  <c r="L103" i="1"/>
  <c r="K103" i="1"/>
  <c r="I103" i="1"/>
  <c r="H103" i="1"/>
  <c r="F103" i="1"/>
  <c r="E103" i="1"/>
  <c r="D103" i="1"/>
  <c r="C103" i="1"/>
  <c r="B103" i="1"/>
  <c r="M102" i="1"/>
  <c r="L102" i="1"/>
  <c r="K102" i="1"/>
  <c r="I102" i="1"/>
  <c r="H102" i="1"/>
  <c r="F102" i="1"/>
  <c r="E102" i="1"/>
  <c r="D102" i="1"/>
  <c r="C102" i="1"/>
  <c r="B102" i="1"/>
  <c r="M101" i="1"/>
  <c r="L101" i="1"/>
  <c r="K101" i="1"/>
  <c r="AA101" i="1" s="1"/>
  <c r="I101" i="1"/>
  <c r="H101" i="1"/>
  <c r="F101" i="1"/>
  <c r="E101" i="1"/>
  <c r="D101" i="1"/>
  <c r="C101" i="1"/>
  <c r="B101" i="1"/>
  <c r="M100" i="1"/>
  <c r="L100" i="1"/>
  <c r="K100" i="1"/>
  <c r="AA100" i="1" s="1"/>
  <c r="I100" i="1"/>
  <c r="H100" i="1"/>
  <c r="F100" i="1"/>
  <c r="E100" i="1"/>
  <c r="D100" i="1"/>
  <c r="C100" i="1"/>
  <c r="B100" i="1"/>
  <c r="M99" i="1"/>
  <c r="L99" i="1"/>
  <c r="K99" i="1"/>
  <c r="I99" i="1"/>
  <c r="V99" i="1" s="1"/>
  <c r="H99" i="1"/>
  <c r="F99" i="1"/>
  <c r="E99" i="1"/>
  <c r="D99" i="1"/>
  <c r="C99" i="1"/>
  <c r="B99" i="1"/>
  <c r="M98" i="1"/>
  <c r="L98" i="1"/>
  <c r="K98" i="1"/>
  <c r="I98" i="1"/>
  <c r="H98" i="1"/>
  <c r="AJ98" i="1" s="1"/>
  <c r="F98" i="1"/>
  <c r="E98" i="1"/>
  <c r="D98" i="1"/>
  <c r="C98" i="1"/>
  <c r="B98" i="1"/>
  <c r="G98" i="1" s="1"/>
  <c r="M97" i="1"/>
  <c r="L97" i="1"/>
  <c r="K97" i="1"/>
  <c r="I97" i="1"/>
  <c r="H97" i="1"/>
  <c r="F97" i="1"/>
  <c r="E97" i="1"/>
  <c r="D97" i="1"/>
  <c r="C97" i="1"/>
  <c r="B97" i="1"/>
  <c r="M96" i="1"/>
  <c r="L96" i="1"/>
  <c r="K96" i="1"/>
  <c r="I96" i="1"/>
  <c r="H96" i="1"/>
  <c r="V96" i="1" s="1"/>
  <c r="F96" i="1"/>
  <c r="E96" i="1"/>
  <c r="D96" i="1"/>
  <c r="C96" i="1"/>
  <c r="B96" i="1"/>
  <c r="M95" i="1"/>
  <c r="L95" i="1"/>
  <c r="K95" i="1"/>
  <c r="I95" i="1"/>
  <c r="H95" i="1"/>
  <c r="F95" i="1"/>
  <c r="E95" i="1"/>
  <c r="D95" i="1"/>
  <c r="C95" i="1"/>
  <c r="B95" i="1"/>
  <c r="M94" i="1"/>
  <c r="L94" i="1"/>
  <c r="AE94" i="1" s="1"/>
  <c r="K94" i="1"/>
  <c r="I94" i="1"/>
  <c r="H94" i="1"/>
  <c r="F94" i="1"/>
  <c r="E94" i="1"/>
  <c r="D94" i="1"/>
  <c r="C94" i="1"/>
  <c r="B94" i="1"/>
  <c r="M93" i="1"/>
  <c r="L93" i="1"/>
  <c r="K93" i="1"/>
  <c r="I93" i="1"/>
  <c r="H93" i="1"/>
  <c r="F93" i="1"/>
  <c r="E93" i="1"/>
  <c r="D93" i="1"/>
  <c r="C93" i="1"/>
  <c r="B93" i="1"/>
  <c r="G93" i="1" s="1"/>
  <c r="M92" i="1"/>
  <c r="L92" i="1"/>
  <c r="K92" i="1"/>
  <c r="AE92" i="1" s="1"/>
  <c r="I92" i="1"/>
  <c r="H92" i="1"/>
  <c r="AJ92" i="1" s="1"/>
  <c r="F92" i="1"/>
  <c r="E92" i="1"/>
  <c r="D92" i="1"/>
  <c r="C92" i="1"/>
  <c r="B92" i="1"/>
  <c r="M91" i="1"/>
  <c r="L91" i="1"/>
  <c r="K91" i="1"/>
  <c r="U91" i="1" s="1"/>
  <c r="I91" i="1"/>
  <c r="H91" i="1"/>
  <c r="F91" i="1"/>
  <c r="E91" i="1"/>
  <c r="D91" i="1"/>
  <c r="C91" i="1"/>
  <c r="B91" i="1"/>
  <c r="M90" i="1"/>
  <c r="AA90" i="1" s="1"/>
  <c r="L90" i="1"/>
  <c r="AE90" i="1" s="1"/>
  <c r="K90" i="1"/>
  <c r="I90" i="1"/>
  <c r="H90" i="1"/>
  <c r="F90" i="1"/>
  <c r="E90" i="1"/>
  <c r="D90" i="1"/>
  <c r="C90" i="1"/>
  <c r="B90" i="1"/>
  <c r="M89" i="1"/>
  <c r="L89" i="1"/>
  <c r="K89" i="1"/>
  <c r="I89" i="1"/>
  <c r="H89" i="1"/>
  <c r="F89" i="1"/>
  <c r="E89" i="1"/>
  <c r="D89" i="1"/>
  <c r="C89" i="1"/>
  <c r="B89" i="1"/>
  <c r="G89" i="1" s="1"/>
  <c r="M88" i="1"/>
  <c r="L88" i="1"/>
  <c r="K88" i="1"/>
  <c r="I88" i="1"/>
  <c r="H88" i="1"/>
  <c r="F88" i="1"/>
  <c r="E88" i="1"/>
  <c r="D88" i="1"/>
  <c r="C88" i="1"/>
  <c r="B88" i="1"/>
  <c r="M87" i="1"/>
  <c r="L87" i="1"/>
  <c r="K87" i="1"/>
  <c r="AE87" i="1" s="1"/>
  <c r="I87" i="1"/>
  <c r="H87" i="1"/>
  <c r="F87" i="1"/>
  <c r="E87" i="1"/>
  <c r="D87" i="1"/>
  <c r="C87" i="1"/>
  <c r="B87" i="1"/>
  <c r="M86" i="1"/>
  <c r="L86" i="1"/>
  <c r="K86" i="1"/>
  <c r="J86" i="1"/>
  <c r="I86" i="1"/>
  <c r="H86" i="1"/>
  <c r="F86" i="1"/>
  <c r="E86" i="1"/>
  <c r="D86" i="1"/>
  <c r="C86" i="1"/>
  <c r="B86" i="1"/>
  <c r="M85" i="1"/>
  <c r="L85" i="1"/>
  <c r="K85" i="1"/>
  <c r="AA85" i="1" s="1"/>
  <c r="I85" i="1"/>
  <c r="H85" i="1"/>
  <c r="F85" i="1"/>
  <c r="E85" i="1"/>
  <c r="D85" i="1"/>
  <c r="C85" i="1"/>
  <c r="B85" i="1"/>
  <c r="M84" i="1"/>
  <c r="L84" i="1"/>
  <c r="K84" i="1"/>
  <c r="I84" i="1"/>
  <c r="V84" i="1" s="1"/>
  <c r="H84" i="1"/>
  <c r="F84" i="1"/>
  <c r="E84" i="1"/>
  <c r="D84" i="1"/>
  <c r="C84" i="1"/>
  <c r="B84" i="1"/>
  <c r="M83" i="1"/>
  <c r="L83" i="1"/>
  <c r="K83" i="1"/>
  <c r="I83" i="1"/>
  <c r="H83" i="1"/>
  <c r="F83" i="1"/>
  <c r="E83" i="1"/>
  <c r="D83" i="1"/>
  <c r="C83" i="1"/>
  <c r="B83" i="1"/>
  <c r="G83" i="1" s="1"/>
  <c r="M82" i="1"/>
  <c r="L82" i="1"/>
  <c r="K82" i="1"/>
  <c r="I82" i="1"/>
  <c r="H82" i="1"/>
  <c r="F82" i="1"/>
  <c r="E82" i="1"/>
  <c r="D82" i="1"/>
  <c r="C82" i="1"/>
  <c r="B82" i="1"/>
  <c r="G82" i="1" s="1"/>
  <c r="M81" i="1"/>
  <c r="L81" i="1"/>
  <c r="K81" i="1"/>
  <c r="I81" i="1"/>
  <c r="H81" i="1"/>
  <c r="V81" i="1" s="1"/>
  <c r="F81" i="1"/>
  <c r="E81" i="1"/>
  <c r="D81" i="1"/>
  <c r="C81" i="1"/>
  <c r="B81" i="1"/>
  <c r="M80" i="1"/>
  <c r="L80" i="1"/>
  <c r="K80" i="1"/>
  <c r="I80" i="1"/>
  <c r="H80" i="1"/>
  <c r="F80" i="1"/>
  <c r="E80" i="1"/>
  <c r="D80" i="1"/>
  <c r="C80" i="1"/>
  <c r="B80" i="1"/>
  <c r="M79" i="1"/>
  <c r="L79" i="1"/>
  <c r="K79" i="1"/>
  <c r="I79" i="1"/>
  <c r="H79" i="1"/>
  <c r="F79" i="1"/>
  <c r="E79" i="1"/>
  <c r="D79" i="1"/>
  <c r="C79" i="1"/>
  <c r="B79" i="1"/>
  <c r="M78" i="1"/>
  <c r="L78" i="1"/>
  <c r="K78" i="1"/>
  <c r="I78" i="1"/>
  <c r="H78" i="1"/>
  <c r="F78" i="1"/>
  <c r="E78" i="1"/>
  <c r="D78" i="1"/>
  <c r="C78" i="1"/>
  <c r="B78" i="1"/>
  <c r="M77" i="1"/>
  <c r="L77" i="1"/>
  <c r="K77" i="1"/>
  <c r="AA77" i="1" s="1"/>
  <c r="I77" i="1"/>
  <c r="H77" i="1"/>
  <c r="F77" i="1"/>
  <c r="E77" i="1"/>
  <c r="D77" i="1"/>
  <c r="C77" i="1"/>
  <c r="B77" i="1"/>
  <c r="M76" i="1"/>
  <c r="L76" i="1"/>
  <c r="K76" i="1"/>
  <c r="AE76" i="1" s="1"/>
  <c r="I76" i="1"/>
  <c r="H76" i="1"/>
  <c r="F76" i="1"/>
  <c r="E76" i="1"/>
  <c r="D76" i="1"/>
  <c r="C76" i="1"/>
  <c r="B76" i="1"/>
  <c r="M75" i="1"/>
  <c r="L75" i="1"/>
  <c r="K75" i="1"/>
  <c r="I75" i="1"/>
  <c r="H75" i="1"/>
  <c r="F75" i="1"/>
  <c r="E75" i="1"/>
  <c r="D75" i="1"/>
  <c r="C75" i="1"/>
  <c r="B75" i="1"/>
  <c r="M74" i="1"/>
  <c r="L74" i="1"/>
  <c r="K74" i="1"/>
  <c r="I74" i="1"/>
  <c r="H74" i="1"/>
  <c r="F74" i="1"/>
  <c r="E74" i="1"/>
  <c r="D74" i="1"/>
  <c r="C74" i="1"/>
  <c r="B74" i="1"/>
  <c r="M73" i="1"/>
  <c r="L73" i="1"/>
  <c r="K73" i="1"/>
  <c r="AE73" i="1" s="1"/>
  <c r="I73" i="1"/>
  <c r="H73" i="1"/>
  <c r="F73" i="1"/>
  <c r="E73" i="1"/>
  <c r="D73" i="1"/>
  <c r="C73" i="1"/>
  <c r="B73" i="1"/>
  <c r="M72" i="1"/>
  <c r="L72" i="1"/>
  <c r="K72" i="1"/>
  <c r="I72" i="1"/>
  <c r="H72" i="1"/>
  <c r="F72" i="1"/>
  <c r="E72" i="1"/>
  <c r="D72" i="1"/>
  <c r="C72" i="1"/>
  <c r="B72" i="1"/>
  <c r="M71" i="1"/>
  <c r="L71" i="1"/>
  <c r="K71" i="1"/>
  <c r="I71" i="1"/>
  <c r="H71" i="1"/>
  <c r="F71" i="1"/>
  <c r="E71" i="1"/>
  <c r="D71" i="1"/>
  <c r="C71" i="1"/>
  <c r="B71" i="1"/>
  <c r="M70" i="1"/>
  <c r="L70" i="1"/>
  <c r="AE70" i="1" s="1"/>
  <c r="K70" i="1"/>
  <c r="I70" i="1"/>
  <c r="H70" i="1"/>
  <c r="F70" i="1"/>
  <c r="E70" i="1"/>
  <c r="D70" i="1"/>
  <c r="C70" i="1"/>
  <c r="B70" i="1"/>
  <c r="M69" i="1"/>
  <c r="L69" i="1"/>
  <c r="K69" i="1"/>
  <c r="I69" i="1"/>
  <c r="H69" i="1"/>
  <c r="F69" i="1"/>
  <c r="E69" i="1"/>
  <c r="D69" i="1"/>
  <c r="C69" i="1"/>
  <c r="B69" i="1"/>
  <c r="M68" i="1"/>
  <c r="L68" i="1"/>
  <c r="K68" i="1"/>
  <c r="I68" i="1"/>
  <c r="H68" i="1"/>
  <c r="F68" i="1"/>
  <c r="E68" i="1"/>
  <c r="D68" i="1"/>
  <c r="C68" i="1"/>
  <c r="B68" i="1"/>
  <c r="M67" i="1"/>
  <c r="L67" i="1"/>
  <c r="K67" i="1"/>
  <c r="I67" i="1"/>
  <c r="H67" i="1"/>
  <c r="F67" i="1"/>
  <c r="E67" i="1"/>
  <c r="D67" i="1"/>
  <c r="C67" i="1"/>
  <c r="B67" i="1"/>
  <c r="M66" i="1"/>
  <c r="L66" i="1"/>
  <c r="K66" i="1"/>
  <c r="I66" i="1"/>
  <c r="H66" i="1"/>
  <c r="F66" i="1"/>
  <c r="E66" i="1"/>
  <c r="D66" i="1"/>
  <c r="C66" i="1"/>
  <c r="B66" i="1"/>
  <c r="G66" i="1" s="1"/>
  <c r="M65" i="1"/>
  <c r="L65" i="1"/>
  <c r="K65" i="1"/>
  <c r="AA65" i="1" s="1"/>
  <c r="I65" i="1"/>
  <c r="H65" i="1"/>
  <c r="F65" i="1"/>
  <c r="E65" i="1"/>
  <c r="D65" i="1"/>
  <c r="C65" i="1"/>
  <c r="B65" i="1"/>
  <c r="M64" i="1"/>
  <c r="L64" i="1"/>
  <c r="K64" i="1"/>
  <c r="I64" i="1"/>
  <c r="H64" i="1"/>
  <c r="F64" i="1"/>
  <c r="E64" i="1"/>
  <c r="D64" i="1"/>
  <c r="C64" i="1"/>
  <c r="B64" i="1"/>
  <c r="M63" i="1"/>
  <c r="L63" i="1"/>
  <c r="K63" i="1"/>
  <c r="I63" i="1"/>
  <c r="H63" i="1"/>
  <c r="F63" i="1"/>
  <c r="E63" i="1"/>
  <c r="D63" i="1"/>
  <c r="C63" i="1"/>
  <c r="B63" i="1"/>
  <c r="M62" i="1"/>
  <c r="L62" i="1"/>
  <c r="K62" i="1"/>
  <c r="I62" i="1"/>
  <c r="H62" i="1"/>
  <c r="F62" i="1"/>
  <c r="E62" i="1"/>
  <c r="D62" i="1"/>
  <c r="C62" i="1"/>
  <c r="B62" i="1"/>
  <c r="M61" i="1"/>
  <c r="L61" i="1"/>
  <c r="K61" i="1"/>
  <c r="AE61" i="1" s="1"/>
  <c r="I61" i="1"/>
  <c r="H61" i="1"/>
  <c r="F61" i="1"/>
  <c r="E61" i="1"/>
  <c r="D61" i="1"/>
  <c r="C61" i="1"/>
  <c r="B61" i="1"/>
  <c r="M60" i="1"/>
  <c r="L60" i="1"/>
  <c r="K60" i="1"/>
  <c r="I60" i="1"/>
  <c r="H60" i="1"/>
  <c r="F60" i="1"/>
  <c r="E60" i="1"/>
  <c r="D60" i="1"/>
  <c r="C60" i="1"/>
  <c r="B60" i="1"/>
  <c r="M59" i="1"/>
  <c r="L59" i="1"/>
  <c r="K59" i="1"/>
  <c r="I59" i="1"/>
  <c r="H59" i="1"/>
  <c r="F59" i="1"/>
  <c r="E59" i="1"/>
  <c r="D59" i="1"/>
  <c r="C59" i="1"/>
  <c r="B59" i="1"/>
  <c r="M58" i="1"/>
  <c r="L58" i="1"/>
  <c r="K58" i="1"/>
  <c r="I58" i="1"/>
  <c r="V58" i="1" s="1"/>
  <c r="H58" i="1"/>
  <c r="F58" i="1"/>
  <c r="E58" i="1"/>
  <c r="D58" i="1"/>
  <c r="C58" i="1"/>
  <c r="B58" i="1"/>
  <c r="G58" i="1" s="1"/>
  <c r="M57" i="1"/>
  <c r="L57" i="1"/>
  <c r="K57" i="1"/>
  <c r="I57" i="1"/>
  <c r="H57" i="1"/>
  <c r="F57" i="1"/>
  <c r="E57" i="1"/>
  <c r="D57" i="1"/>
  <c r="C57" i="1"/>
  <c r="B57" i="1"/>
  <c r="G57" i="1" s="1"/>
  <c r="M56" i="1"/>
  <c r="L56" i="1"/>
  <c r="K56" i="1"/>
  <c r="AA56" i="1" s="1"/>
  <c r="I56" i="1"/>
  <c r="H56" i="1"/>
  <c r="AF56" i="1" s="1"/>
  <c r="F56" i="1"/>
  <c r="E56" i="1"/>
  <c r="D56" i="1"/>
  <c r="C56" i="1"/>
  <c r="B56" i="1"/>
  <c r="G56" i="1" s="1"/>
  <c r="M55" i="1"/>
  <c r="L55" i="1"/>
  <c r="K55" i="1"/>
  <c r="I55" i="1"/>
  <c r="H55" i="1"/>
  <c r="F55" i="1"/>
  <c r="E55" i="1"/>
  <c r="D55" i="1"/>
  <c r="C55" i="1"/>
  <c r="B55" i="1"/>
  <c r="M54" i="1"/>
  <c r="L54" i="1"/>
  <c r="K54" i="1"/>
  <c r="I54" i="1"/>
  <c r="AF54" i="1" s="1"/>
  <c r="H54" i="1"/>
  <c r="F54" i="1"/>
  <c r="E54" i="1"/>
  <c r="D54" i="1"/>
  <c r="C54" i="1"/>
  <c r="B54" i="1"/>
  <c r="M53" i="1"/>
  <c r="L53" i="1"/>
  <c r="K53" i="1"/>
  <c r="I53" i="1"/>
  <c r="H53" i="1"/>
  <c r="F53" i="1"/>
  <c r="E53" i="1"/>
  <c r="D53" i="1"/>
  <c r="C53" i="1"/>
  <c r="B53" i="1"/>
  <c r="M52" i="1"/>
  <c r="L52" i="1"/>
  <c r="K52" i="1"/>
  <c r="AE52" i="1" s="1"/>
  <c r="I52" i="1"/>
  <c r="H52" i="1"/>
  <c r="F52" i="1"/>
  <c r="E52" i="1"/>
  <c r="D52" i="1"/>
  <c r="C52" i="1"/>
  <c r="B52" i="1"/>
  <c r="G52" i="1" s="1"/>
  <c r="M51" i="1"/>
  <c r="L51" i="1"/>
  <c r="K51" i="1"/>
  <c r="I51" i="1"/>
  <c r="H51" i="1"/>
  <c r="F51" i="1"/>
  <c r="E51" i="1"/>
  <c r="D51" i="1"/>
  <c r="C51" i="1"/>
  <c r="B51" i="1"/>
  <c r="M50" i="1"/>
  <c r="L50" i="1"/>
  <c r="K50" i="1"/>
  <c r="I50" i="1"/>
  <c r="H50" i="1"/>
  <c r="F50" i="1"/>
  <c r="E50" i="1"/>
  <c r="D50" i="1"/>
  <c r="C50" i="1"/>
  <c r="B50" i="1"/>
  <c r="M49" i="1"/>
  <c r="L49" i="1"/>
  <c r="K49" i="1"/>
  <c r="I49" i="1"/>
  <c r="H49" i="1"/>
  <c r="F49" i="1"/>
  <c r="E49" i="1"/>
  <c r="D49" i="1"/>
  <c r="C49" i="1"/>
  <c r="B49" i="1"/>
  <c r="M48" i="1"/>
  <c r="L48" i="1"/>
  <c r="K48" i="1"/>
  <c r="I48" i="1"/>
  <c r="H48" i="1"/>
  <c r="F48" i="1"/>
  <c r="E48" i="1"/>
  <c r="D48" i="1"/>
  <c r="C48" i="1"/>
  <c r="B48" i="1"/>
  <c r="M47" i="1"/>
  <c r="L47" i="1"/>
  <c r="K47" i="1"/>
  <c r="I47" i="1"/>
  <c r="H47" i="1"/>
  <c r="F47" i="1"/>
  <c r="E47" i="1"/>
  <c r="D47" i="1"/>
  <c r="C47" i="1"/>
  <c r="B47" i="1"/>
  <c r="M46" i="1"/>
  <c r="L46" i="1"/>
  <c r="K46" i="1"/>
  <c r="I46" i="1"/>
  <c r="H46" i="1"/>
  <c r="F46" i="1"/>
  <c r="E46" i="1"/>
  <c r="D46" i="1"/>
  <c r="C46" i="1"/>
  <c r="B46" i="1"/>
  <c r="M45" i="1"/>
  <c r="L45" i="1"/>
  <c r="K45" i="1"/>
  <c r="I45" i="1"/>
  <c r="H45" i="1"/>
  <c r="F45" i="1"/>
  <c r="E45" i="1"/>
  <c r="D45" i="1"/>
  <c r="C45" i="1"/>
  <c r="B45" i="1"/>
  <c r="M44" i="1"/>
  <c r="L44" i="1"/>
  <c r="K44" i="1"/>
  <c r="AK44" i="1" s="1"/>
  <c r="I44" i="1"/>
  <c r="H44" i="1"/>
  <c r="F44" i="1"/>
  <c r="E44" i="1"/>
  <c r="D44" i="1"/>
  <c r="C44" i="1"/>
  <c r="B44" i="1"/>
  <c r="M43" i="1"/>
  <c r="L43" i="1"/>
  <c r="K43" i="1"/>
  <c r="AE43" i="1" s="1"/>
  <c r="I43" i="1"/>
  <c r="H43" i="1"/>
  <c r="F43" i="1"/>
  <c r="E43" i="1"/>
  <c r="D43" i="1"/>
  <c r="C43" i="1"/>
  <c r="B43" i="1"/>
  <c r="M42" i="1"/>
  <c r="L42" i="1"/>
  <c r="K42" i="1"/>
  <c r="I42" i="1"/>
  <c r="H42" i="1"/>
  <c r="F42" i="1"/>
  <c r="E42" i="1"/>
  <c r="D42" i="1"/>
  <c r="C42" i="1"/>
  <c r="B42" i="1"/>
  <c r="M41" i="1"/>
  <c r="L41" i="1"/>
  <c r="K41" i="1"/>
  <c r="I41" i="1"/>
  <c r="H41" i="1"/>
  <c r="F41" i="1"/>
  <c r="E41" i="1"/>
  <c r="D41" i="1"/>
  <c r="C41" i="1"/>
  <c r="B41" i="1"/>
  <c r="M40" i="1"/>
  <c r="L40" i="1"/>
  <c r="K40" i="1"/>
  <c r="AK40" i="1" s="1"/>
  <c r="I40" i="1"/>
  <c r="H40" i="1"/>
  <c r="F40" i="1"/>
  <c r="E40" i="1"/>
  <c r="D40" i="1"/>
  <c r="C40" i="1"/>
  <c r="B40" i="1"/>
  <c r="M39" i="1"/>
  <c r="L39" i="1"/>
  <c r="K39" i="1"/>
  <c r="I39" i="1"/>
  <c r="H39" i="1"/>
  <c r="F39" i="1"/>
  <c r="E39" i="1"/>
  <c r="D39" i="1"/>
  <c r="C39" i="1"/>
  <c r="B39" i="1"/>
  <c r="M38" i="1"/>
  <c r="L38" i="1"/>
  <c r="K38" i="1"/>
  <c r="I38" i="1"/>
  <c r="H38" i="1"/>
  <c r="F38" i="1"/>
  <c r="E38" i="1"/>
  <c r="D38" i="1"/>
  <c r="C38" i="1"/>
  <c r="B38" i="1"/>
  <c r="M37" i="1"/>
  <c r="L37" i="1"/>
  <c r="K37" i="1"/>
  <c r="I37" i="1"/>
  <c r="H37" i="1"/>
  <c r="AF37" i="1" s="1"/>
  <c r="F37" i="1"/>
  <c r="E37" i="1"/>
  <c r="D37" i="1"/>
  <c r="C37" i="1"/>
  <c r="B37" i="1"/>
  <c r="M36" i="1"/>
  <c r="L36" i="1"/>
  <c r="K36" i="1"/>
  <c r="AK36" i="1" s="1"/>
  <c r="I36" i="1"/>
  <c r="H36" i="1"/>
  <c r="F36" i="1"/>
  <c r="E36" i="1"/>
  <c r="D36" i="1"/>
  <c r="C36" i="1"/>
  <c r="B36" i="1"/>
  <c r="M35" i="1"/>
  <c r="AA35" i="1" s="1"/>
  <c r="L35" i="1"/>
  <c r="K35" i="1"/>
  <c r="I35" i="1"/>
  <c r="H35" i="1"/>
  <c r="F35" i="1"/>
  <c r="E35" i="1"/>
  <c r="D35" i="1"/>
  <c r="C35" i="1"/>
  <c r="B35" i="1"/>
  <c r="M34" i="1"/>
  <c r="L34" i="1"/>
  <c r="K34" i="1"/>
  <c r="I34" i="1"/>
  <c r="H34" i="1"/>
  <c r="F34" i="1"/>
  <c r="E34" i="1"/>
  <c r="D34" i="1"/>
  <c r="C34" i="1"/>
  <c r="G34" i="1" s="1"/>
  <c r="B34" i="1"/>
  <c r="M33" i="1"/>
  <c r="L33" i="1"/>
  <c r="K33" i="1"/>
  <c r="I33" i="1"/>
  <c r="H33" i="1"/>
  <c r="J33" i="1" s="1"/>
  <c r="F33" i="1"/>
  <c r="E33" i="1"/>
  <c r="D33" i="1"/>
  <c r="C33" i="1"/>
  <c r="B33" i="1"/>
  <c r="M32" i="1"/>
  <c r="L32" i="1"/>
  <c r="K32" i="1"/>
  <c r="U32" i="1" s="1"/>
  <c r="I32" i="1"/>
  <c r="H32" i="1"/>
  <c r="V32" i="1" s="1"/>
  <c r="F32" i="1"/>
  <c r="E32" i="1"/>
  <c r="D32" i="1"/>
  <c r="C32" i="1"/>
  <c r="B32" i="1"/>
  <c r="M31" i="1"/>
  <c r="L31" i="1"/>
  <c r="K31" i="1"/>
  <c r="I31" i="1"/>
  <c r="H31" i="1"/>
  <c r="F31" i="1"/>
  <c r="E31" i="1"/>
  <c r="D31" i="1"/>
  <c r="C31" i="1"/>
  <c r="B31" i="1"/>
  <c r="M30" i="1"/>
  <c r="L30" i="1"/>
  <c r="AE30" i="1" s="1"/>
  <c r="K30" i="1"/>
  <c r="I30" i="1"/>
  <c r="H30" i="1"/>
  <c r="F30" i="1"/>
  <c r="E30" i="1"/>
  <c r="D30" i="1"/>
  <c r="C30" i="1"/>
  <c r="B30" i="1"/>
  <c r="M29" i="1"/>
  <c r="L29" i="1"/>
  <c r="K29" i="1"/>
  <c r="AA29" i="1" s="1"/>
  <c r="I29" i="1"/>
  <c r="H29" i="1"/>
  <c r="F29" i="1"/>
  <c r="E29" i="1"/>
  <c r="D29" i="1"/>
  <c r="C29" i="1"/>
  <c r="B29" i="1"/>
  <c r="M28" i="1"/>
  <c r="L28" i="1"/>
  <c r="K28" i="1"/>
  <c r="AE28" i="1" s="1"/>
  <c r="I28" i="1"/>
  <c r="H28" i="1"/>
  <c r="F28" i="1"/>
  <c r="E28" i="1"/>
  <c r="D28" i="1"/>
  <c r="C28" i="1"/>
  <c r="B28" i="1"/>
  <c r="M27" i="1"/>
  <c r="L27" i="1"/>
  <c r="K27" i="1"/>
  <c r="I27" i="1"/>
  <c r="V27" i="1" s="1"/>
  <c r="H27" i="1"/>
  <c r="F27" i="1"/>
  <c r="E27" i="1"/>
  <c r="D27" i="1"/>
  <c r="C27" i="1"/>
  <c r="B27" i="1"/>
  <c r="M26" i="1"/>
  <c r="L26" i="1"/>
  <c r="K26" i="1"/>
  <c r="I26" i="1"/>
  <c r="H26" i="1"/>
  <c r="F26" i="1"/>
  <c r="E26" i="1"/>
  <c r="D26" i="1"/>
  <c r="C26" i="1"/>
  <c r="B26" i="1"/>
  <c r="M25" i="1"/>
  <c r="L25" i="1"/>
  <c r="K25" i="1"/>
  <c r="I25" i="1"/>
  <c r="H25" i="1"/>
  <c r="F25" i="1"/>
  <c r="E25" i="1"/>
  <c r="D25" i="1"/>
  <c r="C25" i="1"/>
  <c r="B25" i="1"/>
  <c r="G25" i="1" s="1"/>
  <c r="M24" i="1"/>
  <c r="L24" i="1"/>
  <c r="K24" i="1"/>
  <c r="I24" i="1"/>
  <c r="H24" i="1"/>
  <c r="F24" i="1"/>
  <c r="E24" i="1"/>
  <c r="D24" i="1"/>
  <c r="C24" i="1"/>
  <c r="B24" i="1"/>
  <c r="M23" i="1"/>
  <c r="L23" i="1"/>
  <c r="K23" i="1"/>
  <c r="I23" i="1"/>
  <c r="H23" i="1"/>
  <c r="F23" i="1"/>
  <c r="E23" i="1"/>
  <c r="D23" i="1"/>
  <c r="C23" i="1"/>
  <c r="B23" i="1"/>
  <c r="M22" i="1"/>
  <c r="L22" i="1"/>
  <c r="K22" i="1"/>
  <c r="I22" i="1"/>
  <c r="H22" i="1"/>
  <c r="F22" i="1"/>
  <c r="E22" i="1"/>
  <c r="D22" i="1"/>
  <c r="C22" i="1"/>
  <c r="B22" i="1"/>
  <c r="M21" i="1"/>
  <c r="L21" i="1"/>
  <c r="K21" i="1"/>
  <c r="I21" i="1"/>
  <c r="H21" i="1"/>
  <c r="F21" i="1"/>
  <c r="E21" i="1"/>
  <c r="D21" i="1"/>
  <c r="C21" i="1"/>
  <c r="B21" i="1"/>
  <c r="G21" i="1" s="1"/>
  <c r="M20" i="1"/>
  <c r="L20" i="1"/>
  <c r="K20" i="1"/>
  <c r="I20" i="1"/>
  <c r="H20" i="1"/>
  <c r="V20" i="1" s="1"/>
  <c r="F20" i="1"/>
  <c r="E20" i="1"/>
  <c r="D20" i="1"/>
  <c r="C20" i="1"/>
  <c r="B20" i="1"/>
  <c r="M19" i="1"/>
  <c r="L19" i="1"/>
  <c r="K19" i="1"/>
  <c r="I19" i="1"/>
  <c r="H19" i="1"/>
  <c r="F19" i="1"/>
  <c r="E19" i="1"/>
  <c r="D19" i="1"/>
  <c r="C19" i="1"/>
  <c r="B19" i="1"/>
  <c r="M18" i="1"/>
  <c r="L18" i="1"/>
  <c r="K18" i="1"/>
  <c r="I18" i="1"/>
  <c r="H18" i="1"/>
  <c r="F18" i="1"/>
  <c r="E18" i="1"/>
  <c r="D18" i="1"/>
  <c r="C18" i="1"/>
  <c r="B18" i="1"/>
  <c r="M17" i="1"/>
  <c r="L17" i="1"/>
  <c r="K17" i="1"/>
  <c r="AA17" i="1" s="1"/>
  <c r="I17" i="1"/>
  <c r="H17" i="1"/>
  <c r="F17" i="1"/>
  <c r="E17" i="1"/>
  <c r="D17" i="1"/>
  <c r="C17" i="1"/>
  <c r="B17" i="1"/>
  <c r="M16" i="1"/>
  <c r="L16" i="1"/>
  <c r="K16" i="1"/>
  <c r="I16" i="1"/>
  <c r="V16" i="1" s="1"/>
  <c r="H16" i="1"/>
  <c r="F16" i="1"/>
  <c r="E16" i="1"/>
  <c r="D16" i="1"/>
  <c r="C16" i="1"/>
  <c r="B16" i="1"/>
  <c r="G16" i="1" s="1"/>
  <c r="M15" i="1"/>
  <c r="L15" i="1"/>
  <c r="K15" i="1"/>
  <c r="AK15" i="1" s="1"/>
  <c r="I15" i="1"/>
  <c r="H15" i="1"/>
  <c r="F15" i="1"/>
  <c r="E15" i="1"/>
  <c r="D15" i="1"/>
  <c r="C15" i="1"/>
  <c r="B15" i="1"/>
  <c r="M14" i="1"/>
  <c r="L14" i="1"/>
  <c r="K14" i="1"/>
  <c r="AE14" i="1" s="1"/>
  <c r="I14" i="1"/>
  <c r="H14" i="1"/>
  <c r="F14" i="1"/>
  <c r="E14" i="1"/>
  <c r="D14" i="1"/>
  <c r="C14" i="1"/>
  <c r="B14" i="1"/>
  <c r="M13" i="1"/>
  <c r="L13" i="1"/>
  <c r="K13" i="1"/>
  <c r="I13" i="1"/>
  <c r="H13" i="1"/>
  <c r="F13" i="1"/>
  <c r="E13" i="1"/>
  <c r="D13" i="1"/>
  <c r="C13" i="1"/>
  <c r="B13" i="1"/>
  <c r="M12" i="1"/>
  <c r="L12" i="1"/>
  <c r="K12" i="1"/>
  <c r="I12" i="1"/>
  <c r="H12" i="1"/>
  <c r="F12" i="1"/>
  <c r="E12" i="1"/>
  <c r="D12" i="1"/>
  <c r="C12" i="1"/>
  <c r="B12" i="1"/>
  <c r="M11" i="1"/>
  <c r="L11" i="1"/>
  <c r="K11" i="1"/>
  <c r="AA11" i="1" s="1"/>
  <c r="I11" i="1"/>
  <c r="H11" i="1"/>
  <c r="V11" i="1" s="1"/>
  <c r="F11" i="1"/>
  <c r="E11" i="1"/>
  <c r="D11" i="1"/>
  <c r="C11" i="1"/>
  <c r="B11" i="1"/>
  <c r="M10" i="1"/>
  <c r="L10" i="1"/>
  <c r="K10" i="1"/>
  <c r="I10" i="1"/>
  <c r="H10" i="1"/>
  <c r="F10" i="1"/>
  <c r="E10" i="1"/>
  <c r="D10" i="1"/>
  <c r="C10" i="1"/>
  <c r="B10" i="1"/>
  <c r="M9" i="1"/>
  <c r="L9" i="1"/>
  <c r="K9" i="1"/>
  <c r="I9" i="1"/>
  <c r="H9" i="1"/>
  <c r="F9" i="1"/>
  <c r="E9" i="1"/>
  <c r="D9" i="1"/>
  <c r="C9" i="1"/>
  <c r="B9" i="1"/>
  <c r="M8" i="1"/>
  <c r="L8" i="1"/>
  <c r="K8" i="1"/>
  <c r="I8" i="1"/>
  <c r="H8" i="1"/>
  <c r="AF8" i="1" s="1"/>
  <c r="F8" i="1"/>
  <c r="E8" i="1"/>
  <c r="D8" i="1"/>
  <c r="C8" i="1"/>
  <c r="B8" i="1"/>
  <c r="M7" i="1"/>
  <c r="L7" i="1"/>
  <c r="K7" i="1"/>
  <c r="AA7" i="1" s="1"/>
  <c r="I7" i="1"/>
  <c r="H7" i="1"/>
  <c r="F7" i="1"/>
  <c r="E7" i="1"/>
  <c r="D7" i="1"/>
  <c r="C7" i="1"/>
  <c r="B7" i="1"/>
  <c r="M6" i="1"/>
  <c r="L6" i="1"/>
  <c r="AE6" i="1" s="1"/>
  <c r="K6" i="1"/>
  <c r="AK6" i="1" s="1"/>
  <c r="I6" i="1"/>
  <c r="H6" i="1"/>
  <c r="V6" i="1" s="1"/>
  <c r="F6" i="1"/>
  <c r="E6" i="1"/>
  <c r="D6" i="1"/>
  <c r="C6" i="1"/>
  <c r="B6" i="1"/>
  <c r="M5" i="1"/>
  <c r="L5" i="1"/>
  <c r="K5" i="1"/>
  <c r="U5" i="1" s="1"/>
  <c r="I5" i="1"/>
  <c r="H5" i="1"/>
  <c r="F5" i="1"/>
  <c r="E5" i="1"/>
  <c r="D5" i="1"/>
  <c r="C5" i="1"/>
  <c r="B5" i="1"/>
  <c r="M4" i="1"/>
  <c r="L4" i="1"/>
  <c r="K4" i="1"/>
  <c r="I4" i="1"/>
  <c r="H4" i="1"/>
  <c r="F4" i="1"/>
  <c r="E4" i="1"/>
  <c r="D4" i="1"/>
  <c r="C4" i="1"/>
  <c r="B4" i="1"/>
  <c r="M3" i="1"/>
  <c r="AA3" i="1" s="1"/>
  <c r="L3" i="1"/>
  <c r="K3" i="1"/>
  <c r="I3" i="1"/>
  <c r="V3" i="1" s="1"/>
  <c r="H3" i="1"/>
  <c r="F3" i="1"/>
  <c r="E3" i="1"/>
  <c r="D3" i="1"/>
  <c r="C3" i="1"/>
  <c r="B3" i="1"/>
  <c r="M2" i="1"/>
  <c r="L2" i="1"/>
  <c r="K2" i="1"/>
  <c r="I2" i="1"/>
  <c r="H2" i="1"/>
  <c r="V2" i="1" s="1"/>
  <c r="F2" i="1"/>
  <c r="E2" i="1"/>
  <c r="D2" i="1"/>
  <c r="C2" i="1"/>
  <c r="B2" i="1"/>
  <c r="AE41" i="1" l="1"/>
  <c r="AE45" i="1"/>
  <c r="J50" i="1"/>
  <c r="J69" i="1"/>
  <c r="G107" i="1"/>
  <c r="G111" i="1"/>
  <c r="AE182" i="1"/>
  <c r="AE190" i="1"/>
  <c r="Z232" i="1"/>
  <c r="V251" i="1"/>
  <c r="Z255" i="1"/>
  <c r="AF266" i="1"/>
  <c r="G276" i="1"/>
  <c r="G291" i="1"/>
  <c r="G303" i="1"/>
  <c r="J335" i="1"/>
  <c r="G338" i="1"/>
  <c r="AJ339" i="1"/>
  <c r="G342" i="1"/>
  <c r="AJ343" i="1"/>
  <c r="G17" i="1"/>
  <c r="AJ55" i="1"/>
  <c r="J74" i="1"/>
  <c r="G85" i="1"/>
  <c r="AJ86" i="1"/>
  <c r="Z129" i="1"/>
  <c r="J149" i="1"/>
  <c r="G152" i="1"/>
  <c r="U168" i="1"/>
  <c r="AJ180" i="1"/>
  <c r="AJ188" i="1"/>
  <c r="AI188" i="1" s="1"/>
  <c r="O188" i="1" s="1"/>
  <c r="V207" i="1"/>
  <c r="G224" i="1"/>
  <c r="AK251" i="1"/>
  <c r="J252" i="1"/>
  <c r="G258" i="1"/>
  <c r="J289" i="1"/>
  <c r="G292" i="1"/>
  <c r="G300" i="1"/>
  <c r="J301" i="1"/>
  <c r="G323" i="1"/>
  <c r="AK10" i="1"/>
  <c r="J12" i="1"/>
  <c r="G18" i="1"/>
  <c r="V59" i="1"/>
  <c r="AK73" i="1"/>
  <c r="AK74" i="1"/>
  <c r="V114" i="1"/>
  <c r="AK136" i="1"/>
  <c r="U137" i="1"/>
  <c r="V138" i="1"/>
  <c r="AK148" i="1"/>
  <c r="V154" i="1"/>
  <c r="U195" i="1"/>
  <c r="AK203" i="1"/>
  <c r="AJ204" i="1"/>
  <c r="G255" i="1"/>
  <c r="U263" i="1"/>
  <c r="U267" i="1"/>
  <c r="AF268" i="1"/>
  <c r="AJ271" i="1"/>
  <c r="AE285" i="1"/>
  <c r="Z286" i="1"/>
  <c r="Z314" i="1"/>
  <c r="AK316" i="1"/>
  <c r="G320" i="1"/>
  <c r="V321" i="1"/>
  <c r="U332" i="1"/>
  <c r="AK335" i="1"/>
  <c r="U336" i="1"/>
  <c r="AK343" i="1"/>
  <c r="AK23" i="1"/>
  <c r="G54" i="1"/>
  <c r="AE93" i="1"/>
  <c r="G97" i="1"/>
  <c r="G113" i="1"/>
  <c r="AF175" i="1"/>
  <c r="AA192" i="1"/>
  <c r="AK218" i="1"/>
  <c r="AA241" i="1"/>
  <c r="AK256" i="1"/>
  <c r="Z20" i="1"/>
  <c r="G51" i="1"/>
  <c r="AE51" i="1"/>
  <c r="AE59" i="1"/>
  <c r="AA66" i="1"/>
  <c r="AA70" i="1"/>
  <c r="Y70" i="1" s="1"/>
  <c r="Q70" i="1" s="1"/>
  <c r="AE79" i="1"/>
  <c r="AK93" i="1"/>
  <c r="AA97" i="1"/>
  <c r="AK106" i="1"/>
  <c r="G125" i="1"/>
  <c r="AF151" i="1"/>
  <c r="Z163" i="1"/>
  <c r="AA165" i="1"/>
  <c r="Y165" i="1" s="1"/>
  <c r="Q165" i="1" s="1"/>
  <c r="G184" i="1"/>
  <c r="V209" i="1"/>
  <c r="AF246" i="1"/>
  <c r="G252" i="1"/>
  <c r="G256" i="1"/>
  <c r="AK260" i="1"/>
  <c r="AK264" i="1"/>
  <c r="J269" i="1"/>
  <c r="U271" i="1"/>
  <c r="AF272" i="1"/>
  <c r="AA274" i="1"/>
  <c r="AF276" i="1"/>
  <c r="AK290" i="1"/>
  <c r="V299" i="1"/>
  <c r="G324" i="1"/>
  <c r="AK324" i="1"/>
  <c r="AK325" i="1"/>
  <c r="Z330" i="1"/>
  <c r="AK333" i="1"/>
  <c r="AK337" i="1"/>
  <c r="G298" i="1"/>
  <c r="G314" i="1"/>
  <c r="G325" i="1"/>
  <c r="G333" i="1"/>
  <c r="G337" i="1"/>
  <c r="AA13" i="1"/>
  <c r="J14" i="1"/>
  <c r="AJ186" i="1"/>
  <c r="AJ190" i="1"/>
  <c r="AE216" i="1"/>
  <c r="AJ224" i="1"/>
  <c r="AA276" i="1"/>
  <c r="AJ26" i="1"/>
  <c r="J53" i="1"/>
  <c r="J71" i="1"/>
  <c r="U76" i="1"/>
  <c r="J95" i="1"/>
  <c r="AJ127" i="1"/>
  <c r="AE145" i="1"/>
  <c r="AE220" i="1"/>
  <c r="G227" i="1"/>
  <c r="U234" i="1"/>
  <c r="AE245" i="1"/>
  <c r="G251" i="1"/>
  <c r="Z259" i="1"/>
  <c r="U266" i="1"/>
  <c r="V270" i="1"/>
  <c r="V283" i="1"/>
  <c r="G285" i="1"/>
  <c r="AJ303" i="1"/>
  <c r="AA313" i="1"/>
  <c r="AA324" i="1"/>
  <c r="U343" i="1"/>
  <c r="AK14" i="1"/>
  <c r="AA9" i="1"/>
  <c r="J10" i="1"/>
  <c r="G15" i="1"/>
  <c r="Z16" i="1"/>
  <c r="V23" i="1"/>
  <c r="AK25" i="1"/>
  <c r="AK26" i="1"/>
  <c r="AK38" i="1"/>
  <c r="AA53" i="1"/>
  <c r="Z57" i="1"/>
  <c r="U60" i="1"/>
  <c r="J61" i="1"/>
  <c r="AF68" i="1"/>
  <c r="U71" i="1"/>
  <c r="AE84" i="1"/>
  <c r="G87" i="1"/>
  <c r="G101" i="1"/>
  <c r="J102" i="1"/>
  <c r="AE108" i="1"/>
  <c r="G115" i="1"/>
  <c r="Z120" i="1"/>
  <c r="AF124" i="1"/>
  <c r="G126" i="1"/>
  <c r="U127" i="1"/>
  <c r="AF131" i="1"/>
  <c r="AK141" i="1"/>
  <c r="AK152" i="1"/>
  <c r="U153" i="1"/>
  <c r="U160" i="1"/>
  <c r="G174" i="1"/>
  <c r="V179" i="1"/>
  <c r="AA188" i="1"/>
  <c r="Z197" i="1"/>
  <c r="AK214" i="1"/>
  <c r="J218" i="1"/>
  <c r="U235" i="1"/>
  <c r="J242" i="1"/>
  <c r="AA259" i="1"/>
  <c r="G262" i="1"/>
  <c r="G266" i="1"/>
  <c r="G279" i="1"/>
  <c r="G282" i="1"/>
  <c r="AK286" i="1"/>
  <c r="V290" i="1"/>
  <c r="G295" i="1"/>
  <c r="J299" i="1"/>
  <c r="G306" i="1"/>
  <c r="G310" i="1"/>
  <c r="G317" i="1"/>
  <c r="AJ332" i="1"/>
  <c r="G13" i="1"/>
  <c r="AE16" i="1"/>
  <c r="AF24" i="1"/>
  <c r="G42" i="1"/>
  <c r="AJ51" i="1"/>
  <c r="G53" i="1"/>
  <c r="AE57" i="1"/>
  <c r="AF58" i="1"/>
  <c r="AA63" i="1"/>
  <c r="AF65" i="1"/>
  <c r="G71" i="1"/>
  <c r="AA84" i="1"/>
  <c r="AE104" i="1"/>
  <c r="AJ163" i="1"/>
  <c r="U344" i="1"/>
  <c r="AE74" i="1"/>
  <c r="AE81" i="1"/>
  <c r="J82" i="1"/>
  <c r="AE88" i="1"/>
  <c r="AA96" i="1"/>
  <c r="AA99" i="1"/>
  <c r="G116" i="1"/>
  <c r="AK124" i="1"/>
  <c r="G142" i="1"/>
  <c r="AA149" i="1"/>
  <c r="AA153" i="1"/>
  <c r="AA156" i="1"/>
  <c r="AK157" i="1"/>
  <c r="AE185" i="1"/>
  <c r="AA186" i="1"/>
  <c r="J216" i="1"/>
  <c r="AE218" i="1"/>
  <c r="V222" i="1"/>
  <c r="G231" i="1"/>
  <c r="U242" i="1"/>
  <c r="J250" i="1"/>
  <c r="AE303" i="1"/>
  <c r="AE314" i="1"/>
  <c r="AJ315" i="1"/>
  <c r="V319" i="1"/>
  <c r="G332" i="1"/>
  <c r="G10" i="1"/>
  <c r="AE10" i="1"/>
  <c r="V21" i="1"/>
  <c r="AJ28" i="1"/>
  <c r="AE39" i="1"/>
  <c r="AE47" i="1"/>
  <c r="AK58" i="1"/>
  <c r="J62" i="1"/>
  <c r="G64" i="1"/>
  <c r="Z66" i="1"/>
  <c r="Y66" i="1" s="1"/>
  <c r="Q66" i="1" s="1"/>
  <c r="U69" i="1"/>
  <c r="Z70" i="1"/>
  <c r="V76" i="1"/>
  <c r="AE99" i="1"/>
  <c r="V100" i="1"/>
  <c r="AK105" i="1"/>
  <c r="AJ107" i="1"/>
  <c r="AK109" i="1"/>
  <c r="AK110" i="1"/>
  <c r="V151" i="1"/>
  <c r="G161" i="1"/>
  <c r="AF162" i="1"/>
  <c r="J173" i="1"/>
  <c r="U183" i="1"/>
  <c r="AJ194" i="1"/>
  <c r="G201" i="1"/>
  <c r="AE201" i="1"/>
  <c r="AF202" i="1"/>
  <c r="Z206" i="1"/>
  <c r="G208" i="1"/>
  <c r="V213" i="1"/>
  <c r="AJ223" i="1"/>
  <c r="AK239" i="1"/>
  <c r="U253" i="1"/>
  <c r="J254" i="1"/>
  <c r="U257" i="1"/>
  <c r="W257" i="1" s="1"/>
  <c r="AK259" i="1"/>
  <c r="AF265" i="1"/>
  <c r="G267" i="1"/>
  <c r="Z275" i="1"/>
  <c r="J278" i="1"/>
  <c r="G287" i="1"/>
  <c r="AF294" i="1"/>
  <c r="AA296" i="1"/>
  <c r="AJ298" i="1"/>
  <c r="U308" i="1"/>
  <c r="G340" i="1"/>
  <c r="AA79" i="1"/>
  <c r="AA225" i="1"/>
  <c r="AE325" i="1"/>
  <c r="AA103" i="1"/>
  <c r="AA140" i="1"/>
  <c r="AA176" i="1"/>
  <c r="AA198" i="1"/>
  <c r="AE4" i="1"/>
  <c r="AJ12" i="1"/>
  <c r="V15" i="1"/>
  <c r="Z22" i="1"/>
  <c r="AF33" i="1"/>
  <c r="G40" i="1"/>
  <c r="G44" i="1"/>
  <c r="G55" i="1"/>
  <c r="U62" i="1"/>
  <c r="W62" i="1" s="1"/>
  <c r="P62" i="1" s="1"/>
  <c r="Z67" i="1"/>
  <c r="AA83" i="1"/>
  <c r="AA94" i="1"/>
  <c r="AE100" i="1"/>
  <c r="AK111" i="1"/>
  <c r="AF115" i="1"/>
  <c r="G121" i="1"/>
  <c r="AK129" i="1"/>
  <c r="J133" i="1"/>
  <c r="G140" i="1"/>
  <c r="G144" i="1"/>
  <c r="AJ149" i="1"/>
  <c r="G151" i="1"/>
  <c r="U155" i="1"/>
  <c r="V159" i="1"/>
  <c r="W159" i="1" s="1"/>
  <c r="G173" i="1"/>
  <c r="G176" i="1"/>
  <c r="J181" i="1"/>
  <c r="AA184" i="1"/>
  <c r="G194" i="1"/>
  <c r="G198" i="1"/>
  <c r="AF210" i="1"/>
  <c r="AA237" i="1"/>
  <c r="Y237" i="1" s="1"/>
  <c r="Q237" i="1" s="1"/>
  <c r="J275" i="1"/>
  <c r="AE281" i="1"/>
  <c r="V282" i="1"/>
  <c r="AA288" i="1"/>
  <c r="U309" i="1"/>
  <c r="G326" i="1"/>
  <c r="AJ327" i="1"/>
  <c r="Z26" i="1"/>
  <c r="AE272" i="1"/>
  <c r="AG272" i="1" s="1"/>
  <c r="N272" i="1" s="1"/>
  <c r="AK272" i="1"/>
  <c r="Z2" i="1"/>
  <c r="Z7" i="1"/>
  <c r="Y7" i="1" s="1"/>
  <c r="Q7" i="1" s="1"/>
  <c r="G9" i="1"/>
  <c r="Z10" i="1"/>
  <c r="G14" i="1"/>
  <c r="U14" i="1"/>
  <c r="AK19" i="1"/>
  <c r="J20" i="1"/>
  <c r="AJ22" i="1"/>
  <c r="U25" i="1"/>
  <c r="AK27" i="1"/>
  <c r="G29" i="1"/>
  <c r="AK30" i="1"/>
  <c r="AJ31" i="1"/>
  <c r="U35" i="1"/>
  <c r="G38" i="1"/>
  <c r="AE48" i="1"/>
  <c r="J49" i="1"/>
  <c r="J57" i="1"/>
  <c r="G62" i="1"/>
  <c r="AJ63" i="1"/>
  <c r="V65" i="1"/>
  <c r="V67" i="1"/>
  <c r="AK70" i="1"/>
  <c r="V71" i="1"/>
  <c r="U73" i="1"/>
  <c r="U75" i="1"/>
  <c r="Z76" i="1"/>
  <c r="G77" i="1"/>
  <c r="AJ78" i="1"/>
  <c r="G80" i="1"/>
  <c r="J81" i="1"/>
  <c r="G86" i="1"/>
  <c r="AK86" i="1"/>
  <c r="AK89" i="1"/>
  <c r="AA92" i="1"/>
  <c r="AK94" i="1"/>
  <c r="U95" i="1"/>
  <c r="AJ96" i="1"/>
  <c r="AK97" i="1"/>
  <c r="J98" i="1"/>
  <c r="J101" i="1"/>
  <c r="G103" i="1"/>
  <c r="AE103" i="1"/>
  <c r="AA108" i="1"/>
  <c r="AA109" i="1"/>
  <c r="U115" i="1"/>
  <c r="U120" i="1"/>
  <c r="AF126" i="1"/>
  <c r="G133" i="1"/>
  <c r="AE217" i="1"/>
  <c r="AJ4" i="1"/>
  <c r="AK9" i="1"/>
  <c r="U10" i="1"/>
  <c r="V17" i="1"/>
  <c r="G19" i="1"/>
  <c r="AK21" i="1"/>
  <c r="AK22" i="1"/>
  <c r="J28" i="1"/>
  <c r="G33" i="1"/>
  <c r="U33" i="1"/>
  <c r="G35" i="1"/>
  <c r="AK42" i="1"/>
  <c r="G48" i="1"/>
  <c r="AA59" i="1"/>
  <c r="U63" i="1"/>
  <c r="AE66" i="1"/>
  <c r="AJ69" i="1"/>
  <c r="G73" i="1"/>
  <c r="AF74" i="1"/>
  <c r="G75" i="1"/>
  <c r="AA78" i="1"/>
  <c r="U81" i="1"/>
  <c r="W81" i="1" s="1"/>
  <c r="P81" i="1" s="1"/>
  <c r="AJ94" i="1"/>
  <c r="AI94" i="1" s="1"/>
  <c r="O94" i="1" s="1"/>
  <c r="G95" i="1"/>
  <c r="U98" i="1"/>
  <c r="AJ99" i="1"/>
  <c r="G109" i="1"/>
  <c r="AA137" i="1"/>
  <c r="J187" i="1"/>
  <c r="AF187" i="1"/>
  <c r="AI26" i="1"/>
  <c r="O26" i="1" s="1"/>
  <c r="G78" i="1"/>
  <c r="G81" i="1"/>
  <c r="V82" i="1"/>
  <c r="J85" i="1"/>
  <c r="AA106" i="1"/>
  <c r="Z124" i="1"/>
  <c r="V135" i="1"/>
  <c r="AF135" i="1"/>
  <c r="AK215" i="1"/>
  <c r="AA215" i="1"/>
  <c r="G259" i="1"/>
  <c r="J304" i="1"/>
  <c r="AJ304" i="1"/>
  <c r="AI304" i="1" s="1"/>
  <c r="O304" i="1" s="1"/>
  <c r="AA25" i="1"/>
  <c r="J26" i="1"/>
  <c r="AE31" i="1"/>
  <c r="U36" i="1"/>
  <c r="AK46" i="1"/>
  <c r="AE49" i="1"/>
  <c r="V54" i="1"/>
  <c r="Z58" i="1"/>
  <c r="AK90" i="1"/>
  <c r="AE96" i="1"/>
  <c r="J99" i="1"/>
  <c r="AE106" i="1"/>
  <c r="AE110" i="1"/>
  <c r="AF116" i="1"/>
  <c r="AJ119" i="1"/>
  <c r="G130" i="1"/>
  <c r="AE173" i="1"/>
  <c r="AE176" i="1"/>
  <c r="AA212" i="1"/>
  <c r="AE212" i="1"/>
  <c r="G4" i="1"/>
  <c r="J8" i="1"/>
  <c r="V12" i="1"/>
  <c r="U13" i="1"/>
  <c r="W13" i="1" s="1"/>
  <c r="AJ16" i="1"/>
  <c r="V18" i="1"/>
  <c r="Z24" i="1"/>
  <c r="AE26" i="1"/>
  <c r="AA31" i="1"/>
  <c r="J32" i="1"/>
  <c r="V33" i="1"/>
  <c r="Z34" i="1"/>
  <c r="V37" i="1"/>
  <c r="G46" i="1"/>
  <c r="U55" i="1"/>
  <c r="G69" i="1"/>
  <c r="G74" i="1"/>
  <c r="U74" i="1"/>
  <c r="U82" i="1"/>
  <c r="W82" i="1" s="1"/>
  <c r="P82" i="1" s="1"/>
  <c r="G91" i="1"/>
  <c r="G94" i="1"/>
  <c r="J97" i="1"/>
  <c r="AJ100" i="1"/>
  <c r="AK101" i="1"/>
  <c r="AE107" i="1"/>
  <c r="AJ111" i="1"/>
  <c r="J114" i="1"/>
  <c r="AE116" i="1"/>
  <c r="G122" i="1"/>
  <c r="V123" i="1"/>
  <c r="AE125" i="1"/>
  <c r="G128" i="1"/>
  <c r="J147" i="1"/>
  <c r="AJ147" i="1"/>
  <c r="AE149" i="1"/>
  <c r="AK149" i="1"/>
  <c r="AI149" i="1" s="1"/>
  <c r="O149" i="1" s="1"/>
  <c r="AJ167" i="1"/>
  <c r="J171" i="1"/>
  <c r="AJ195" i="1"/>
  <c r="AF206" i="1"/>
  <c r="U222" i="1"/>
  <c r="AK229" i="1"/>
  <c r="AA229" i="1"/>
  <c r="AE277" i="1"/>
  <c r="U277" i="1"/>
  <c r="G290" i="1"/>
  <c r="AK11" i="1"/>
  <c r="AA32" i="1"/>
  <c r="AA36" i="1"/>
  <c r="AA52" i="1"/>
  <c r="AK65" i="1"/>
  <c r="AA71" i="1"/>
  <c r="AI86" i="1"/>
  <c r="O86" i="1" s="1"/>
  <c r="AK102" i="1"/>
  <c r="AA105" i="1"/>
  <c r="AI106" i="1"/>
  <c r="O106" i="1" s="1"/>
  <c r="AA110" i="1"/>
  <c r="AK326" i="1"/>
  <c r="AE326" i="1"/>
  <c r="U326" i="1"/>
  <c r="AK2" i="1"/>
  <c r="AE2" i="1"/>
  <c r="Z3" i="1"/>
  <c r="G5" i="1"/>
  <c r="G8" i="1"/>
  <c r="G11" i="1"/>
  <c r="AF12" i="1"/>
  <c r="AJ14" i="1"/>
  <c r="AI14" i="1" s="1"/>
  <c r="O14" i="1" s="1"/>
  <c r="J16" i="1"/>
  <c r="U18" i="1"/>
  <c r="Z19" i="1"/>
  <c r="Z28" i="1"/>
  <c r="V30" i="1"/>
  <c r="AJ33" i="1"/>
  <c r="V35" i="1"/>
  <c r="AK52" i="1"/>
  <c r="J54" i="1"/>
  <c r="AE67" i="1"/>
  <c r="AA69" i="1"/>
  <c r="AE71" i="1"/>
  <c r="J73" i="1"/>
  <c r="AJ84" i="1"/>
  <c r="AK85" i="1"/>
  <c r="AI85" i="1" s="1"/>
  <c r="O85" i="1" s="1"/>
  <c r="AA88" i="1"/>
  <c r="AE89" i="1"/>
  <c r="AJ95" i="1"/>
  <c r="U97" i="1"/>
  <c r="G102" i="1"/>
  <c r="G105" i="1"/>
  <c r="AE105" i="1"/>
  <c r="G136" i="1"/>
  <c r="AJ158" i="1"/>
  <c r="V162" i="1"/>
  <c r="AJ165" i="1"/>
  <c r="AI165" i="1" s="1"/>
  <c r="O165" i="1" s="1"/>
  <c r="Z165" i="1"/>
  <c r="AJ234" i="1"/>
  <c r="J234" i="1"/>
  <c r="AE301" i="1"/>
  <c r="AA301" i="1"/>
  <c r="Z220" i="1"/>
  <c r="AF231" i="1"/>
  <c r="AK249" i="1"/>
  <c r="AJ252" i="1"/>
  <c r="AK275" i="1"/>
  <c r="AE310" i="1"/>
  <c r="V318" i="1"/>
  <c r="AF120" i="1"/>
  <c r="G123" i="1"/>
  <c r="U123" i="1"/>
  <c r="G137" i="1"/>
  <c r="AF138" i="1"/>
  <c r="G143" i="1"/>
  <c r="U147" i="1"/>
  <c r="U152" i="1"/>
  <c r="Z153" i="1"/>
  <c r="Y153" i="1" s="1"/>
  <c r="Q153" i="1" s="1"/>
  <c r="U158" i="1"/>
  <c r="G164" i="1"/>
  <c r="AK164" i="1"/>
  <c r="G166" i="1"/>
  <c r="U171" i="1"/>
  <c r="AK173" i="1"/>
  <c r="J174" i="1"/>
  <c r="AK176" i="1"/>
  <c r="U180" i="1"/>
  <c r="AJ184" i="1"/>
  <c r="G186" i="1"/>
  <c r="V190" i="1"/>
  <c r="G192" i="1"/>
  <c r="G202" i="1"/>
  <c r="V203" i="1"/>
  <c r="U206" i="1"/>
  <c r="AA209" i="1"/>
  <c r="G212" i="1"/>
  <c r="Z216" i="1"/>
  <c r="AK217" i="1"/>
  <c r="AJ218" i="1"/>
  <c r="V221" i="1"/>
  <c r="AJ232" i="1"/>
  <c r="Z235" i="1"/>
  <c r="U243" i="1"/>
  <c r="W243" i="1" s="1"/>
  <c r="P243" i="1" s="1"/>
  <c r="Z244" i="1"/>
  <c r="G246" i="1"/>
  <c r="AF247" i="1"/>
  <c r="AJ250" i="1"/>
  <c r="AK252" i="1"/>
  <c r="AF254" i="1"/>
  <c r="U255" i="1"/>
  <c r="G257" i="1"/>
  <c r="G263" i="1"/>
  <c r="G269" i="1"/>
  <c r="AJ281" i="1"/>
  <c r="AJ289" i="1"/>
  <c r="V297" i="1"/>
  <c r="Z302" i="1"/>
  <c r="G307" i="1"/>
  <c r="AE307" i="1"/>
  <c r="AA310" i="1"/>
  <c r="J315" i="1"/>
  <c r="AE318" i="1"/>
  <c r="AF319" i="1"/>
  <c r="AF327" i="1"/>
  <c r="G335" i="1"/>
  <c r="G339" i="1"/>
  <c r="G343" i="1"/>
  <c r="G134" i="1"/>
  <c r="Z145" i="1"/>
  <c r="Z149" i="1"/>
  <c r="G158" i="1"/>
  <c r="G171" i="1"/>
  <c r="V178" i="1"/>
  <c r="AA196" i="1"/>
  <c r="G199" i="1"/>
  <c r="J204" i="1"/>
  <c r="AA213" i="1"/>
  <c r="G223" i="1"/>
  <c r="AK232" i="1"/>
  <c r="AE237" i="1"/>
  <c r="AE249" i="1"/>
  <c r="J256" i="1"/>
  <c r="AA275" i="1"/>
  <c r="Y275" i="1" s="1"/>
  <c r="Q275" i="1" s="1"/>
  <c r="AA284" i="1"/>
  <c r="G286" i="1"/>
  <c r="J287" i="1"/>
  <c r="G289" i="1"/>
  <c r="AE289" i="1"/>
  <c r="AK291" i="1"/>
  <c r="AE297" i="1"/>
  <c r="AA302" i="1"/>
  <c r="G304" i="1"/>
  <c r="AE311" i="1"/>
  <c r="AJ312" i="1"/>
  <c r="AA319" i="1"/>
  <c r="J327" i="1"/>
  <c r="AA332" i="1"/>
  <c r="G336" i="1"/>
  <c r="G344" i="1"/>
  <c r="G117" i="1"/>
  <c r="G120" i="1"/>
  <c r="AK120" i="1"/>
  <c r="G124" i="1"/>
  <c r="AA129" i="1"/>
  <c r="Y129" i="1" s="1"/>
  <c r="Q129" i="1" s="1"/>
  <c r="AJ130" i="1"/>
  <c r="G132" i="1"/>
  <c r="G135" i="1"/>
  <c r="AJ142" i="1"/>
  <c r="U145" i="1"/>
  <c r="AJ151" i="1"/>
  <c r="G153" i="1"/>
  <c r="AF154" i="1"/>
  <c r="AJ157" i="1"/>
  <c r="AI157" i="1" s="1"/>
  <c r="O157" i="1" s="1"/>
  <c r="G159" i="1"/>
  <c r="U163" i="1"/>
  <c r="G168" i="1"/>
  <c r="G172" i="1"/>
  <c r="U175" i="1"/>
  <c r="AA178" i="1"/>
  <c r="AF179" i="1"/>
  <c r="G181" i="1"/>
  <c r="AJ182" i="1"/>
  <c r="G190" i="1"/>
  <c r="V194" i="1"/>
  <c r="AK207" i="1"/>
  <c r="G210" i="1"/>
  <c r="G213" i="1"/>
  <c r="AE213" i="1"/>
  <c r="AF214" i="1"/>
  <c r="AA216" i="1"/>
  <c r="AE221" i="1"/>
  <c r="AG221" i="1" s="1"/>
  <c r="U224" i="1"/>
  <c r="AF225" i="1"/>
  <c r="U227" i="1"/>
  <c r="AJ230" i="1"/>
  <c r="G232" i="1"/>
  <c r="G235" i="1"/>
  <c r="U238" i="1"/>
  <c r="W238" i="1" s="1"/>
  <c r="P238" i="1" s="1"/>
  <c r="G244" i="1"/>
  <c r="J245" i="1"/>
  <c r="G247" i="1"/>
  <c r="AK247" i="1"/>
  <c r="AI247" i="1" s="1"/>
  <c r="O247" i="1" s="1"/>
  <c r="AA248" i="1"/>
  <c r="Y248" i="1" s="1"/>
  <c r="Q248" i="1" s="1"/>
  <c r="AE252" i="1"/>
  <c r="AA255" i="1"/>
  <c r="Y255" i="1" s="1"/>
  <c r="Q255" i="1" s="1"/>
  <c r="AA256" i="1"/>
  <c r="U261" i="1"/>
  <c r="W261" i="1" s="1"/>
  <c r="P261" i="1" s="1"/>
  <c r="AF262" i="1"/>
  <c r="V265" i="1"/>
  <c r="AE275" i="1"/>
  <c r="AK279" i="1"/>
  <c r="Z282" i="1"/>
  <c r="AK287" i="1"/>
  <c r="Z290" i="1"/>
  <c r="AK294" i="1"/>
  <c r="AJ295" i="1"/>
  <c r="AA298" i="1"/>
  <c r="U300" i="1"/>
  <c r="AJ301" i="1"/>
  <c r="V303" i="1"/>
  <c r="AE305" i="1"/>
  <c r="AJ306" i="1"/>
  <c r="AI306" i="1" s="1"/>
  <c r="O306" i="1" s="1"/>
  <c r="AA311" i="1"/>
  <c r="U312" i="1"/>
  <c r="AJ323" i="1"/>
  <c r="U327" i="1"/>
  <c r="U331" i="1"/>
  <c r="AK332" i="1"/>
  <c r="Z334" i="1"/>
  <c r="AK336" i="1"/>
  <c r="AI336" i="1" s="1"/>
  <c r="O336" i="1" s="1"/>
  <c r="Z338" i="1"/>
  <c r="AA340" i="1"/>
  <c r="AE341" i="1"/>
  <c r="Z342" i="1"/>
  <c r="AA344" i="1"/>
  <c r="AK211" i="1"/>
  <c r="AE241" i="1"/>
  <c r="AJ258" i="1"/>
  <c r="Y259" i="1"/>
  <c r="Q259" i="1" s="1"/>
  <c r="AE264" i="1"/>
  <c r="AK267" i="1"/>
  <c r="U130" i="1"/>
  <c r="U136" i="1"/>
  <c r="Z137" i="1"/>
  <c r="G148" i="1"/>
  <c r="G150" i="1"/>
  <c r="Z155" i="1"/>
  <c r="AE157" i="1"/>
  <c r="G160" i="1"/>
  <c r="J161" i="1"/>
  <c r="G169" i="1"/>
  <c r="G175" i="1"/>
  <c r="G182" i="1"/>
  <c r="V186" i="1"/>
  <c r="G188" i="1"/>
  <c r="U191" i="1"/>
  <c r="AA194" i="1"/>
  <c r="J195" i="1"/>
  <c r="G197" i="1"/>
  <c r="J208" i="1"/>
  <c r="G214" i="1"/>
  <c r="AF234" i="1"/>
  <c r="G236" i="1"/>
  <c r="Z237" i="1"/>
  <c r="G239" i="1"/>
  <c r="G248" i="1"/>
  <c r="U254" i="1"/>
  <c r="G261" i="1"/>
  <c r="U262" i="1"/>
  <c r="AJ263" i="1"/>
  <c r="G271" i="1"/>
  <c r="G274" i="1"/>
  <c r="AF277" i="1"/>
  <c r="U295" i="1"/>
  <c r="G316" i="1"/>
  <c r="AJ320" i="1"/>
  <c r="AF326" i="1"/>
  <c r="AK327" i="1"/>
  <c r="U328" i="1"/>
  <c r="G331" i="1"/>
  <c r="AF335" i="1"/>
  <c r="Z339" i="1"/>
  <c r="Z343" i="1"/>
  <c r="AI22" i="1"/>
  <c r="O22" i="1" s="1"/>
  <c r="J4" i="1"/>
  <c r="AJ10" i="1"/>
  <c r="AI10" i="1" s="1"/>
  <c r="O10" i="1" s="1"/>
  <c r="AF2" i="1"/>
  <c r="AG2" i="1" s="1"/>
  <c r="AF20" i="1"/>
  <c r="AJ24" i="1"/>
  <c r="AJ2" i="1"/>
  <c r="AI2" i="1" s="1"/>
  <c r="O2" i="1" s="1"/>
  <c r="AA5" i="1"/>
  <c r="J6" i="1"/>
  <c r="AK7" i="1"/>
  <c r="V8" i="1"/>
  <c r="Z12" i="1"/>
  <c r="AF16" i="1"/>
  <c r="V19" i="1"/>
  <c r="AJ20" i="1"/>
  <c r="AA23" i="1"/>
  <c r="J24" i="1"/>
  <c r="G28" i="1"/>
  <c r="AK29" i="1"/>
  <c r="AJ30" i="1"/>
  <c r="AI30" i="1" s="1"/>
  <c r="O30" i="1" s="1"/>
  <c r="Z31" i="1"/>
  <c r="Y31" i="1" s="1"/>
  <c r="Q31" i="1" s="1"/>
  <c r="J37" i="1"/>
  <c r="U38" i="1"/>
  <c r="Z39" i="1"/>
  <c r="U40" i="1"/>
  <c r="J41" i="1"/>
  <c r="U42" i="1"/>
  <c r="Z43" i="1"/>
  <c r="U44" i="1"/>
  <c r="U46" i="1"/>
  <c r="Z47" i="1"/>
  <c r="U48" i="1"/>
  <c r="V50" i="1"/>
  <c r="V51" i="1"/>
  <c r="AE53" i="1"/>
  <c r="AE55" i="1"/>
  <c r="AA60" i="1"/>
  <c r="V62" i="1"/>
  <c r="AJ65" i="1"/>
  <c r="AK66" i="1"/>
  <c r="AK67" i="1"/>
  <c r="AA75" i="1"/>
  <c r="J76" i="1"/>
  <c r="AE77" i="1"/>
  <c r="AK78" i="1"/>
  <c r="AA87" i="1"/>
  <c r="AA89" i="1"/>
  <c r="AA91" i="1"/>
  <c r="AA95" i="1"/>
  <c r="V98" i="1"/>
  <c r="G104" i="1"/>
  <c r="G106" i="1"/>
  <c r="AA107" i="1"/>
  <c r="AE109" i="1"/>
  <c r="U110" i="1"/>
  <c r="V111" i="1"/>
  <c r="G118" i="1"/>
  <c r="AE124" i="1"/>
  <c r="AG124" i="1" s="1"/>
  <c r="U124" i="1"/>
  <c r="V167" i="1"/>
  <c r="AF167" i="1"/>
  <c r="AE192" i="1"/>
  <c r="U202" i="1"/>
  <c r="AK202" i="1"/>
  <c r="AE202" i="1"/>
  <c r="AG202" i="1" s="1"/>
  <c r="N202" i="1" s="1"/>
  <c r="Y3" i="1"/>
  <c r="Q3" i="1" s="1"/>
  <c r="AK5" i="1"/>
  <c r="AJ6" i="1"/>
  <c r="AI6" i="1" s="1"/>
  <c r="O6" i="1" s="1"/>
  <c r="AF30" i="1"/>
  <c r="AG30" i="1" s="1"/>
  <c r="W32" i="1"/>
  <c r="J2" i="1"/>
  <c r="AK3" i="1"/>
  <c r="V4" i="1"/>
  <c r="G6" i="1"/>
  <c r="U6" i="1"/>
  <c r="W6" i="1" s="1"/>
  <c r="G7" i="1"/>
  <c r="Z8" i="1"/>
  <c r="V13" i="1"/>
  <c r="Z18" i="1"/>
  <c r="AA19" i="1"/>
  <c r="Y19" i="1" s="1"/>
  <c r="Q19" i="1" s="1"/>
  <c r="U21" i="1"/>
  <c r="W21" i="1" s="1"/>
  <c r="P21" i="1" s="1"/>
  <c r="AE22" i="1"/>
  <c r="G24" i="1"/>
  <c r="AE24" i="1"/>
  <c r="AG24" i="1" s="1"/>
  <c r="N24" i="1" s="1"/>
  <c r="V26" i="1"/>
  <c r="AF26" i="1"/>
  <c r="AG26" i="1" s="1"/>
  <c r="Z27" i="1"/>
  <c r="J30" i="1"/>
  <c r="AE32" i="1"/>
  <c r="AE34" i="1"/>
  <c r="Z35" i="1"/>
  <c r="Y35" i="1" s="1"/>
  <c r="Q35" i="1" s="1"/>
  <c r="G37" i="1"/>
  <c r="U39" i="1"/>
  <c r="U43" i="1"/>
  <c r="U47" i="1"/>
  <c r="AK48" i="1"/>
  <c r="Z50" i="1"/>
  <c r="J58" i="1"/>
  <c r="U59" i="1"/>
  <c r="G61" i="1"/>
  <c r="AA61" i="1"/>
  <c r="Z62" i="1"/>
  <c r="V63" i="1"/>
  <c r="J65" i="1"/>
  <c r="Z68" i="1"/>
  <c r="AK69" i="1"/>
  <c r="V74" i="1"/>
  <c r="G76" i="1"/>
  <c r="AK76" i="1"/>
  <c r="AK77" i="1"/>
  <c r="G79" i="1"/>
  <c r="J84" i="1"/>
  <c r="AE85" i="1"/>
  <c r="V86" i="1"/>
  <c r="G92" i="1"/>
  <c r="J96" i="1"/>
  <c r="AE97" i="1"/>
  <c r="AA98" i="1"/>
  <c r="J100" i="1"/>
  <c r="AE101" i="1"/>
  <c r="V102" i="1"/>
  <c r="U108" i="1"/>
  <c r="G110" i="1"/>
  <c r="U121" i="1"/>
  <c r="AE121" i="1"/>
  <c r="AJ122" i="1"/>
  <c r="V122" i="1"/>
  <c r="J127" i="1"/>
  <c r="AF127" i="1"/>
  <c r="AJ135" i="1"/>
  <c r="AJ141" i="1"/>
  <c r="Z141" i="1"/>
  <c r="J141" i="1"/>
  <c r="U189" i="1"/>
  <c r="AK189" i="1"/>
  <c r="AE189" i="1"/>
  <c r="AA189" i="1"/>
  <c r="AA199" i="1"/>
  <c r="AF200" i="1"/>
  <c r="AF6" i="1"/>
  <c r="AG6" i="1" s="1"/>
  <c r="G2" i="1"/>
  <c r="U2" i="1"/>
  <c r="W2" i="1" s="1"/>
  <c r="P2" i="1" s="1"/>
  <c r="G3" i="1"/>
  <c r="Z4" i="1"/>
  <c r="V9" i="1"/>
  <c r="Z14" i="1"/>
  <c r="AA15" i="1"/>
  <c r="U17" i="1"/>
  <c r="W17" i="1" s="1"/>
  <c r="AE18" i="1"/>
  <c r="G20" i="1"/>
  <c r="AE20" i="1"/>
  <c r="AG20" i="1" s="1"/>
  <c r="V22" i="1"/>
  <c r="AF22" i="1"/>
  <c r="Z23" i="1"/>
  <c r="Y23" i="1" s="1"/>
  <c r="Q23" i="1" s="1"/>
  <c r="V28" i="1"/>
  <c r="G30" i="1"/>
  <c r="U30" i="1"/>
  <c r="W30" i="1" s="1"/>
  <c r="G31" i="1"/>
  <c r="AK32" i="1"/>
  <c r="AE35" i="1"/>
  <c r="V36" i="1"/>
  <c r="W36" i="1" s="1"/>
  <c r="P36" i="1" s="1"/>
  <c r="G39" i="1"/>
  <c r="G41" i="1"/>
  <c r="G43" i="1"/>
  <c r="G45" i="1"/>
  <c r="G47" i="1"/>
  <c r="G49" i="1"/>
  <c r="AA49" i="1"/>
  <c r="AF50" i="1"/>
  <c r="U51" i="1"/>
  <c r="U52" i="1"/>
  <c r="AE56" i="1"/>
  <c r="AG56" i="1" s="1"/>
  <c r="N56" i="1" s="1"/>
  <c r="G59" i="1"/>
  <c r="AF62" i="1"/>
  <c r="G65" i="1"/>
  <c r="U65" i="1"/>
  <c r="G70" i="1"/>
  <c r="Z72" i="1"/>
  <c r="AA74" i="1"/>
  <c r="AF82" i="1"/>
  <c r="AA86" i="1"/>
  <c r="AJ87" i="1"/>
  <c r="G88" i="1"/>
  <c r="AJ89" i="1"/>
  <c r="AI89" i="1" s="1"/>
  <c r="O89" i="1" s="1"/>
  <c r="G90" i="1"/>
  <c r="G96" i="1"/>
  <c r="U96" i="1"/>
  <c r="W96" i="1" s="1"/>
  <c r="G100" i="1"/>
  <c r="AA102" i="1"/>
  <c r="V104" i="1"/>
  <c r="V106" i="1"/>
  <c r="G108" i="1"/>
  <c r="AJ109" i="1"/>
  <c r="AI109" i="1" s="1"/>
  <c r="O109" i="1" s="1"/>
  <c r="G112" i="1"/>
  <c r="U129" i="1"/>
  <c r="AE129" i="1"/>
  <c r="U144" i="1"/>
  <c r="AA144" i="1"/>
  <c r="AJ150" i="1"/>
  <c r="V150" i="1"/>
  <c r="AA174" i="1"/>
  <c r="AE174" i="1"/>
  <c r="AE184" i="1"/>
  <c r="V7" i="1"/>
  <c r="AJ8" i="1"/>
  <c r="AG16" i="1"/>
  <c r="AF18" i="1"/>
  <c r="AJ35" i="1"/>
  <c r="AK62" i="1"/>
  <c r="W63" i="1"/>
  <c r="P63" i="1" s="1"/>
  <c r="AK68" i="1"/>
  <c r="V69" i="1"/>
  <c r="W69" i="1" s="1"/>
  <c r="V73" i="1"/>
  <c r="W73" i="1" s="1"/>
  <c r="Z82" i="1"/>
  <c r="V85" i="1"/>
  <c r="AK98" i="1"/>
  <c r="AI98" i="1" s="1"/>
  <c r="O98" i="1" s="1"/>
  <c r="V101" i="1"/>
  <c r="AJ102" i="1"/>
  <c r="AI102" i="1" s="1"/>
  <c r="O102" i="1" s="1"/>
  <c r="J139" i="1"/>
  <c r="AJ139" i="1"/>
  <c r="AF139" i="1"/>
  <c r="U181" i="1"/>
  <c r="AK181" i="1"/>
  <c r="AE181" i="1"/>
  <c r="AA181" i="1"/>
  <c r="U210" i="1"/>
  <c r="AK210" i="1"/>
  <c r="AE210" i="1"/>
  <c r="AG210" i="1" s="1"/>
  <c r="AC210" i="1" s="1"/>
  <c r="AF4" i="1"/>
  <c r="Z6" i="1"/>
  <c r="U9" i="1"/>
  <c r="G12" i="1"/>
  <c r="AE12" i="1"/>
  <c r="V14" i="1"/>
  <c r="AF14" i="1"/>
  <c r="AG14" i="1" s="1"/>
  <c r="N14" i="1" s="1"/>
  <c r="Z15" i="1"/>
  <c r="Y15" i="1" s="1"/>
  <c r="Q15" i="1" s="1"/>
  <c r="AK17" i="1"/>
  <c r="AJ18" i="1"/>
  <c r="AA21" i="1"/>
  <c r="J22" i="1"/>
  <c r="V24" i="1"/>
  <c r="G26" i="1"/>
  <c r="U26" i="1"/>
  <c r="W26" i="1" s="1"/>
  <c r="G27" i="1"/>
  <c r="AF28" i="1"/>
  <c r="AG28" i="1" s="1"/>
  <c r="N28" i="1" s="1"/>
  <c r="V29" i="1"/>
  <c r="G32" i="1"/>
  <c r="J35" i="1"/>
  <c r="AK35" i="1"/>
  <c r="Z54" i="1"/>
  <c r="Y54" i="1" s="1"/>
  <c r="Q54" i="1" s="1"/>
  <c r="G63" i="1"/>
  <c r="AF69" i="1"/>
  <c r="AK72" i="1"/>
  <c r="AE78" i="1"/>
  <c r="AA82" i="1"/>
  <c r="U93" i="1"/>
  <c r="AJ97" i="1"/>
  <c r="AI97" i="1" s="1"/>
  <c r="O97" i="1" s="1"/>
  <c r="G99" i="1"/>
  <c r="Z169" i="1"/>
  <c r="V169" i="1"/>
  <c r="J191" i="1"/>
  <c r="AJ191" i="1"/>
  <c r="AF191" i="1"/>
  <c r="V191" i="1"/>
  <c r="AE8" i="1"/>
  <c r="AG8" i="1" s="1"/>
  <c r="V10" i="1"/>
  <c r="AF10" i="1"/>
  <c r="AG10" i="1" s="1"/>
  <c r="Z11" i="1"/>
  <c r="Y11" i="1" s="1"/>
  <c r="Q11" i="1" s="1"/>
  <c r="AK13" i="1"/>
  <c r="J18" i="1"/>
  <c r="AK18" i="1"/>
  <c r="G22" i="1"/>
  <c r="U22" i="1"/>
  <c r="G23" i="1"/>
  <c r="AA27" i="1"/>
  <c r="Z30" i="1"/>
  <c r="Z69" i="1"/>
  <c r="Y69" i="1" s="1"/>
  <c r="Q69" i="1" s="1"/>
  <c r="AE82" i="1"/>
  <c r="AJ85" i="1"/>
  <c r="W98" i="1"/>
  <c r="P98" i="1" s="1"/>
  <c r="AJ101" i="1"/>
  <c r="AI101" i="1" s="1"/>
  <c r="O101" i="1" s="1"/>
  <c r="U117" i="1"/>
  <c r="AE117" i="1"/>
  <c r="AJ118" i="1"/>
  <c r="V118" i="1"/>
  <c r="J198" i="1"/>
  <c r="V25" i="1"/>
  <c r="W25" i="1" s="1"/>
  <c r="P25" i="1" s="1"/>
  <c r="U29" i="1"/>
  <c r="W29" i="1" s="1"/>
  <c r="G36" i="1"/>
  <c r="G60" i="1"/>
  <c r="AE63" i="1"/>
  <c r="AE75" i="1"/>
  <c r="AG75" i="1" s="1"/>
  <c r="AK82" i="1"/>
  <c r="AE91" i="1"/>
  <c r="AE95" i="1"/>
  <c r="AE98" i="1"/>
  <c r="U133" i="1"/>
  <c r="AK133" i="1"/>
  <c r="AE133" i="1"/>
  <c r="AF146" i="1"/>
  <c r="V146" i="1"/>
  <c r="J183" i="1"/>
  <c r="AJ183" i="1"/>
  <c r="AF183" i="1"/>
  <c r="V183" i="1"/>
  <c r="AF198" i="1"/>
  <c r="AJ198" i="1"/>
  <c r="Z212" i="1"/>
  <c r="AJ212" i="1"/>
  <c r="J212" i="1"/>
  <c r="AK224" i="1"/>
  <c r="AI224" i="1" s="1"/>
  <c r="O224" i="1" s="1"/>
  <c r="AA224" i="1"/>
  <c r="G50" i="1"/>
  <c r="Z61" i="1"/>
  <c r="AE65" i="1"/>
  <c r="AG65" i="1" s="1"/>
  <c r="AE69" i="1"/>
  <c r="AA72" i="1"/>
  <c r="Y72" i="1" s="1"/>
  <c r="Q72" i="1" s="1"/>
  <c r="AF76" i="1"/>
  <c r="AG76" i="1" s="1"/>
  <c r="AE83" i="1"/>
  <c r="AE86" i="1"/>
  <c r="V87" i="1"/>
  <c r="V89" i="1"/>
  <c r="AA93" i="1"/>
  <c r="AE102" i="1"/>
  <c r="AJ134" i="1"/>
  <c r="V134" i="1"/>
  <c r="U161" i="1"/>
  <c r="AK161" i="1"/>
  <c r="AE161" i="1"/>
  <c r="U205" i="1"/>
  <c r="AA205" i="1"/>
  <c r="AA208" i="1"/>
  <c r="AE208" i="1"/>
  <c r="V238" i="1"/>
  <c r="AF238" i="1"/>
  <c r="U240" i="1"/>
  <c r="AK240" i="1"/>
  <c r="AA240" i="1"/>
  <c r="AF243" i="1"/>
  <c r="AJ243" i="1"/>
  <c r="V243" i="1"/>
  <c r="Z293" i="1"/>
  <c r="J293" i="1"/>
  <c r="AF293" i="1"/>
  <c r="AK113" i="1"/>
  <c r="AJ114" i="1"/>
  <c r="AK116" i="1"/>
  <c r="U128" i="1"/>
  <c r="U135" i="1"/>
  <c r="W135" i="1" s="1"/>
  <c r="AA136" i="1"/>
  <c r="J137" i="1"/>
  <c r="G138" i="1"/>
  <c r="V139" i="1"/>
  <c r="W139" i="1" s="1"/>
  <c r="AK140" i="1"/>
  <c r="J143" i="1"/>
  <c r="AJ145" i="1"/>
  <c r="AK145" i="1"/>
  <c r="U148" i="1"/>
  <c r="AF150" i="1"/>
  <c r="AJ154" i="1"/>
  <c r="AF155" i="1"/>
  <c r="AA157" i="1"/>
  <c r="G163" i="1"/>
  <c r="G165" i="1"/>
  <c r="U165" i="1"/>
  <c r="V166" i="1"/>
  <c r="U167" i="1"/>
  <c r="AE168" i="1"/>
  <c r="AA169" i="1"/>
  <c r="V171" i="1"/>
  <c r="AJ172" i="1"/>
  <c r="U173" i="1"/>
  <c r="AJ175" i="1"/>
  <c r="U176" i="1"/>
  <c r="AA177" i="1"/>
  <c r="AK184" i="1"/>
  <c r="AI184" i="1" s="1"/>
  <c r="O184" i="1" s="1"/>
  <c r="AK185" i="1"/>
  <c r="J186" i="1"/>
  <c r="V187" i="1"/>
  <c r="V188" i="1"/>
  <c r="G189" i="1"/>
  <c r="AK192" i="1"/>
  <c r="AK193" i="1"/>
  <c r="J194" i="1"/>
  <c r="Z195" i="1"/>
  <c r="AK200" i="1"/>
  <c r="G203" i="1"/>
  <c r="Z204" i="1"/>
  <c r="G205" i="1"/>
  <c r="AE205" i="1"/>
  <c r="AE206" i="1"/>
  <c r="G211" i="1"/>
  <c r="AK213" i="1"/>
  <c r="AE214" i="1"/>
  <c r="AF217" i="1"/>
  <c r="AG217" i="1" s="1"/>
  <c r="G218" i="1"/>
  <c r="U218" i="1"/>
  <c r="G219" i="1"/>
  <c r="AA219" i="1"/>
  <c r="AK220" i="1"/>
  <c r="G226" i="1"/>
  <c r="AK227" i="1"/>
  <c r="Z230" i="1"/>
  <c r="U231" i="1"/>
  <c r="AK233" i="1"/>
  <c r="AJ267" i="1"/>
  <c r="AI267" i="1" s="1"/>
  <c r="O267" i="1" s="1"/>
  <c r="Z267" i="1"/>
  <c r="AA133" i="1"/>
  <c r="AK144" i="1"/>
  <c r="AE153" i="1"/>
  <c r="AJ155" i="1"/>
  <c r="Z157" i="1"/>
  <c r="Y157" i="1" s="1"/>
  <c r="Q157" i="1" s="1"/>
  <c r="AF159" i="1"/>
  <c r="AA161" i="1"/>
  <c r="AF171" i="1"/>
  <c r="AE177" i="1"/>
  <c r="W183" i="1"/>
  <c r="P183" i="1" s="1"/>
  <c r="AK205" i="1"/>
  <c r="AJ206" i="1"/>
  <c r="AJ214" i="1"/>
  <c r="AF227" i="1"/>
  <c r="AJ227" i="1"/>
  <c r="J238" i="1"/>
  <c r="U283" i="1"/>
  <c r="AK283" i="1"/>
  <c r="AE283" i="1"/>
  <c r="AJ308" i="1"/>
  <c r="AF308" i="1"/>
  <c r="G119" i="1"/>
  <c r="V127" i="1"/>
  <c r="W127" i="1" s="1"/>
  <c r="P127" i="1" s="1"/>
  <c r="AJ131" i="1"/>
  <c r="G139" i="1"/>
  <c r="G141" i="1"/>
  <c r="U141" i="1"/>
  <c r="V142" i="1"/>
  <c r="U143" i="1"/>
  <c r="W143" i="1" s="1"/>
  <c r="J145" i="1"/>
  <c r="G146" i="1"/>
  <c r="V147" i="1"/>
  <c r="Z151" i="1"/>
  <c r="AJ153" i="1"/>
  <c r="AK153" i="1"/>
  <c r="U156" i="1"/>
  <c r="AF158" i="1"/>
  <c r="AJ159" i="1"/>
  <c r="Z161" i="1"/>
  <c r="Y161" i="1" s="1"/>
  <c r="Q161" i="1" s="1"/>
  <c r="AJ162" i="1"/>
  <c r="AF163" i="1"/>
  <c r="AJ171" i="1"/>
  <c r="U172" i="1"/>
  <c r="V174" i="1"/>
  <c r="AK177" i="1"/>
  <c r="J179" i="1"/>
  <c r="G180" i="1"/>
  <c r="Z182" i="1"/>
  <c r="G183" i="1"/>
  <c r="AJ187" i="1"/>
  <c r="U188" i="1"/>
  <c r="Z190" i="1"/>
  <c r="G191" i="1"/>
  <c r="G196" i="1"/>
  <c r="V202" i="1"/>
  <c r="AA203" i="1"/>
  <c r="J206" i="1"/>
  <c r="AK206" i="1"/>
  <c r="V210" i="1"/>
  <c r="J214" i="1"/>
  <c r="AF221" i="1"/>
  <c r="W222" i="1"/>
  <c r="J225" i="1"/>
  <c r="Z226" i="1"/>
  <c r="AE229" i="1"/>
  <c r="J230" i="1"/>
  <c r="AI232" i="1"/>
  <c r="O232" i="1" s="1"/>
  <c r="Y240" i="1"/>
  <c r="Q240" i="1" s="1"/>
  <c r="J261" i="1"/>
  <c r="V261" i="1"/>
  <c r="AF261" i="1"/>
  <c r="J274" i="1"/>
  <c r="V274" i="1"/>
  <c r="Z274" i="1"/>
  <c r="Y274" i="1" s="1"/>
  <c r="Q274" i="1" s="1"/>
  <c r="AA278" i="1"/>
  <c r="U278" i="1"/>
  <c r="Z291" i="1"/>
  <c r="AJ291" i="1"/>
  <c r="AI291" i="1" s="1"/>
  <c r="O291" i="1" s="1"/>
  <c r="Y310" i="1"/>
  <c r="Q310" i="1" s="1"/>
  <c r="V322" i="1"/>
  <c r="J322" i="1"/>
  <c r="AF322" i="1"/>
  <c r="AE330" i="1"/>
  <c r="U330" i="1"/>
  <c r="Z345" i="1"/>
  <c r="AF345" i="1"/>
  <c r="J345" i="1"/>
  <c r="AK180" i="1"/>
  <c r="AI180" i="1" s="1"/>
  <c r="O180" i="1" s="1"/>
  <c r="Z202" i="1"/>
  <c r="AA204" i="1"/>
  <c r="AJ208" i="1"/>
  <c r="Z210" i="1"/>
  <c r="V218" i="1"/>
  <c r="AJ222" i="1"/>
  <c r="U223" i="1"/>
  <c r="AK223" i="1"/>
  <c r="AI223" i="1" s="1"/>
  <c r="O223" i="1" s="1"/>
  <c r="AF224" i="1"/>
  <c r="Z224" i="1"/>
  <c r="Y224" i="1" s="1"/>
  <c r="Q224" i="1" s="1"/>
  <c r="AK225" i="1"/>
  <c r="V231" i="1"/>
  <c r="U236" i="1"/>
  <c r="AK236" i="1"/>
  <c r="AA236" i="1"/>
  <c r="Y236" i="1" s="1"/>
  <c r="Q236" i="1" s="1"/>
  <c r="AF239" i="1"/>
  <c r="AJ239" i="1"/>
  <c r="AI239" i="1" s="1"/>
  <c r="O239" i="1" s="1"/>
  <c r="Z239" i="1"/>
  <c r="V239" i="1"/>
  <c r="W239" i="1" s="1"/>
  <c r="P239" i="1" s="1"/>
  <c r="V242" i="1"/>
  <c r="W242" i="1" s="1"/>
  <c r="P242" i="1" s="1"/>
  <c r="AF242" i="1"/>
  <c r="U244" i="1"/>
  <c r="AK244" i="1"/>
  <c r="AA244" i="1"/>
  <c r="Y244" i="1" s="1"/>
  <c r="Q244" i="1" s="1"/>
  <c r="AF253" i="1"/>
  <c r="V253" i="1"/>
  <c r="W253" i="1" s="1"/>
  <c r="P253" i="1" s="1"/>
  <c r="V115" i="1"/>
  <c r="J118" i="1"/>
  <c r="AE120" i="1"/>
  <c r="U125" i="1"/>
  <c r="G127" i="1"/>
  <c r="AK128" i="1"/>
  <c r="J129" i="1"/>
  <c r="J131" i="1"/>
  <c r="AJ133" i="1"/>
  <c r="AF134" i="1"/>
  <c r="AJ138" i="1"/>
  <c r="AA141" i="1"/>
  <c r="G147" i="1"/>
  <c r="G149" i="1"/>
  <c r="U149" i="1"/>
  <c r="U151" i="1"/>
  <c r="AA152" i="1"/>
  <c r="J153" i="1"/>
  <c r="G154" i="1"/>
  <c r="V155" i="1"/>
  <c r="AK156" i="1"/>
  <c r="Z159" i="1"/>
  <c r="AJ161" i="1"/>
  <c r="AI161" i="1" s="1"/>
  <c r="O161" i="1" s="1"/>
  <c r="U164" i="1"/>
  <c r="AE165" i="1"/>
  <c r="AF166" i="1"/>
  <c r="G170" i="1"/>
  <c r="AK172" i="1"/>
  <c r="AA173" i="1"/>
  <c r="Y173" i="1" s="1"/>
  <c r="Q173" i="1" s="1"/>
  <c r="Z174" i="1"/>
  <c r="U179" i="1"/>
  <c r="W179" i="1" s="1"/>
  <c r="AA180" i="1"/>
  <c r="J182" i="1"/>
  <c r="V184" i="1"/>
  <c r="G185" i="1"/>
  <c r="AK188" i="1"/>
  <c r="J190" i="1"/>
  <c r="V192" i="1"/>
  <c r="G193" i="1"/>
  <c r="AE196" i="1"/>
  <c r="AF197" i="1"/>
  <c r="U198" i="1"/>
  <c r="V199" i="1"/>
  <c r="G207" i="1"/>
  <c r="Z208" i="1"/>
  <c r="Y208" i="1" s="1"/>
  <c r="Q208" i="1" s="1"/>
  <c r="G209" i="1"/>
  <c r="AE209" i="1"/>
  <c r="AF213" i="1"/>
  <c r="AG213" i="1" s="1"/>
  <c r="N213" i="1" s="1"/>
  <c r="G215" i="1"/>
  <c r="Z218" i="1"/>
  <c r="G221" i="1"/>
  <c r="Z222" i="1"/>
  <c r="AA228" i="1"/>
  <c r="Z231" i="1"/>
  <c r="U232" i="1"/>
  <c r="AA232" i="1"/>
  <c r="Y232" i="1" s="1"/>
  <c r="Q232" i="1" s="1"/>
  <c r="AE233" i="1"/>
  <c r="AE137" i="1"/>
  <c r="AF143" i="1"/>
  <c r="AA145" i="1"/>
  <c r="Y145" i="1" s="1"/>
  <c r="Q145" i="1" s="1"/>
  <c r="J157" i="1"/>
  <c r="AK160" i="1"/>
  <c r="W171" i="1"/>
  <c r="AE180" i="1"/>
  <c r="AA182" i="1"/>
  <c r="AE186" i="1"/>
  <c r="AA190" i="1"/>
  <c r="AE194" i="1"/>
  <c r="AJ202" i="1"/>
  <c r="AJ210" i="1"/>
  <c r="AI210" i="1" s="1"/>
  <c r="O210" i="1" s="1"/>
  <c r="V226" i="1"/>
  <c r="J226" i="1"/>
  <c r="AK228" i="1"/>
  <c r="Z238" i="1"/>
  <c r="AA268" i="1"/>
  <c r="AK268" i="1"/>
  <c r="AE268" i="1"/>
  <c r="AG268" i="1" s="1"/>
  <c r="AJ285" i="1"/>
  <c r="AF285" i="1"/>
  <c r="J285" i="1"/>
  <c r="AJ310" i="1"/>
  <c r="AI310" i="1" s="1"/>
  <c r="O310" i="1" s="1"/>
  <c r="J310" i="1"/>
  <c r="V310" i="1"/>
  <c r="AA316" i="1"/>
  <c r="V317" i="1"/>
  <c r="AJ317" i="1"/>
  <c r="J317" i="1"/>
  <c r="J122" i="1"/>
  <c r="V130" i="1"/>
  <c r="W130" i="1" s="1"/>
  <c r="Z135" i="1"/>
  <c r="AJ137" i="1"/>
  <c r="AK137" i="1"/>
  <c r="U140" i="1"/>
  <c r="AE141" i="1"/>
  <c r="AF142" i="1"/>
  <c r="AJ143" i="1"/>
  <c r="AJ146" i="1"/>
  <c r="AF147" i="1"/>
  <c r="G155" i="1"/>
  <c r="G157" i="1"/>
  <c r="U157" i="1"/>
  <c r="V158" i="1"/>
  <c r="U159" i="1"/>
  <c r="AA160" i="1"/>
  <c r="G162" i="1"/>
  <c r="V163" i="1"/>
  <c r="Z167" i="1"/>
  <c r="AE172" i="1"/>
  <c r="V175" i="1"/>
  <c r="W175" i="1" s="1"/>
  <c r="P175" i="1" s="1"/>
  <c r="AJ176" i="1"/>
  <c r="G179" i="1"/>
  <c r="U184" i="1"/>
  <c r="W184" i="1" s="1"/>
  <c r="AA185" i="1"/>
  <c r="Z186" i="1"/>
  <c r="Y186" i="1" s="1"/>
  <c r="Q186" i="1" s="1"/>
  <c r="G187" i="1"/>
  <c r="AE188" i="1"/>
  <c r="U192" i="1"/>
  <c r="AA193" i="1"/>
  <c r="Z194" i="1"/>
  <c r="Y194" i="1" s="1"/>
  <c r="Q194" i="1" s="1"/>
  <c r="G195" i="1"/>
  <c r="U199" i="1"/>
  <c r="W199" i="1" s="1"/>
  <c r="J202" i="1"/>
  <c r="AE204" i="1"/>
  <c r="V206" i="1"/>
  <c r="AA207" i="1"/>
  <c r="J210" i="1"/>
  <c r="U213" i="1"/>
  <c r="V214" i="1"/>
  <c r="W214" i="1" s="1"/>
  <c r="P214" i="1" s="1"/>
  <c r="G216" i="1"/>
  <c r="U219" i="1"/>
  <c r="W221" i="1"/>
  <c r="P221" i="1" s="1"/>
  <c r="J222" i="1"/>
  <c r="AJ226" i="1"/>
  <c r="V227" i="1"/>
  <c r="W227" i="1" s="1"/>
  <c r="P227" i="1" s="1"/>
  <c r="V230" i="1"/>
  <c r="V246" i="1"/>
  <c r="W246" i="1" s="1"/>
  <c r="P246" i="1" s="1"/>
  <c r="U306" i="1"/>
  <c r="AE306" i="1"/>
  <c r="AA306" i="1"/>
  <c r="AK306" i="1"/>
  <c r="AI327" i="1"/>
  <c r="O327" i="1" s="1"/>
  <c r="J329" i="1"/>
  <c r="AF329" i="1"/>
  <c r="AF218" i="1"/>
  <c r="G230" i="1"/>
  <c r="U230" i="1"/>
  <c r="AK231" i="1"/>
  <c r="G234" i="1"/>
  <c r="AJ238" i="1"/>
  <c r="AJ242" i="1"/>
  <c r="Z243" i="1"/>
  <c r="J246" i="1"/>
  <c r="U247" i="1"/>
  <c r="G250" i="1"/>
  <c r="Z252" i="1"/>
  <c r="Y252" i="1" s="1"/>
  <c r="Q252" i="1" s="1"/>
  <c r="J253" i="1"/>
  <c r="V256" i="1"/>
  <c r="AJ259" i="1"/>
  <c r="AI259" i="1" s="1"/>
  <c r="O259" i="1" s="1"/>
  <c r="G260" i="1"/>
  <c r="J262" i="1"/>
  <c r="AA267" i="1"/>
  <c r="V269" i="1"/>
  <c r="AJ273" i="1"/>
  <c r="AE276" i="1"/>
  <c r="J283" i="1"/>
  <c r="Z285" i="1"/>
  <c r="AA287" i="1"/>
  <c r="V291" i="1"/>
  <c r="AK292" i="1"/>
  <c r="G297" i="1"/>
  <c r="AA297" i="1"/>
  <c r="Y297" i="1" s="1"/>
  <c r="Q297" i="1" s="1"/>
  <c r="AF299" i="1"/>
  <c r="J306" i="1"/>
  <c r="AA307" i="1"/>
  <c r="J308" i="1"/>
  <c r="G309" i="1"/>
  <c r="G312" i="1"/>
  <c r="AK312" i="1"/>
  <c r="AI312" i="1" s="1"/>
  <c r="O312" i="1" s="1"/>
  <c r="G315" i="1"/>
  <c r="G318" i="1"/>
  <c r="U319" i="1"/>
  <c r="J323" i="1"/>
  <c r="AA325" i="1"/>
  <c r="G327" i="1"/>
  <c r="J330" i="1"/>
  <c r="J331" i="1"/>
  <c r="AJ331" i="1"/>
  <c r="AI331" i="1" s="1"/>
  <c r="O331" i="1" s="1"/>
  <c r="J334" i="1"/>
  <c r="U337" i="1"/>
  <c r="J338" i="1"/>
  <c r="U340" i="1"/>
  <c r="J342" i="1"/>
  <c r="J233" i="1"/>
  <c r="V235" i="1"/>
  <c r="W235" i="1" s="1"/>
  <c r="G242" i="1"/>
  <c r="Z245" i="1"/>
  <c r="Y245" i="1" s="1"/>
  <c r="Q245" i="1" s="1"/>
  <c r="J249" i="1"/>
  <c r="AK255" i="1"/>
  <c r="V258" i="1"/>
  <c r="W258" i="1" s="1"/>
  <c r="P258" i="1" s="1"/>
  <c r="U259" i="1"/>
  <c r="AE260" i="1"/>
  <c r="Z263" i="1"/>
  <c r="AF264" i="1"/>
  <c r="AG264" i="1" s="1"/>
  <c r="G265" i="1"/>
  <c r="V266" i="1"/>
  <c r="W266" i="1" s="1"/>
  <c r="P266" i="1" s="1"/>
  <c r="AJ266" i="1"/>
  <c r="G268" i="1"/>
  <c r="G270" i="1"/>
  <c r="U270" i="1"/>
  <c r="G275" i="1"/>
  <c r="U275" i="1"/>
  <c r="Z277" i="1"/>
  <c r="AE279" i="1"/>
  <c r="U281" i="1"/>
  <c r="AF282" i="1"/>
  <c r="AJ287" i="1"/>
  <c r="AI287" i="1" s="1"/>
  <c r="O287" i="1" s="1"/>
  <c r="AF290" i="1"/>
  <c r="U291" i="1"/>
  <c r="AJ293" i="1"/>
  <c r="AE295" i="1"/>
  <c r="G299" i="1"/>
  <c r="G301" i="1"/>
  <c r="U301" i="1"/>
  <c r="AE309" i="1"/>
  <c r="Z319" i="1"/>
  <c r="Y319" i="1" s="1"/>
  <c r="Q319" i="1" s="1"/>
  <c r="G321" i="1"/>
  <c r="V325" i="1"/>
  <c r="AJ325" i="1"/>
  <c r="V327" i="1"/>
  <c r="W327" i="1" s="1"/>
  <c r="P327" i="1" s="1"/>
  <c r="AA328" i="1"/>
  <c r="AE334" i="1"/>
  <c r="V335" i="1"/>
  <c r="Z336" i="1"/>
  <c r="V343" i="1"/>
  <c r="W343" i="1" s="1"/>
  <c r="P343" i="1" s="1"/>
  <c r="AK243" i="1"/>
  <c r="AI243" i="1" s="1"/>
  <c r="O243" i="1" s="1"/>
  <c r="V247" i="1"/>
  <c r="AA251" i="1"/>
  <c r="AI252" i="1"/>
  <c r="O252" i="1" s="1"/>
  <c r="AA263" i="1"/>
  <c r="Z271" i="1"/>
  <c r="Y271" i="1" s="1"/>
  <c r="Q271" i="1" s="1"/>
  <c r="AG277" i="1"/>
  <c r="N277" i="1" s="1"/>
  <c r="AA280" i="1"/>
  <c r="AF281" i="1"/>
  <c r="AG281" i="1" s="1"/>
  <c r="N281" i="1" s="1"/>
  <c r="AA283" i="1"/>
  <c r="V286" i="1"/>
  <c r="AK288" i="1"/>
  <c r="AF289" i="1"/>
  <c r="AG289" i="1" s="1"/>
  <c r="N289" i="1" s="1"/>
  <c r="V315" i="1"/>
  <c r="U318" i="1"/>
  <c r="W318" i="1" s="1"/>
  <c r="P318" i="1" s="1"/>
  <c r="AE319" i="1"/>
  <c r="AG319" i="1" s="1"/>
  <c r="Z327" i="1"/>
  <c r="AK328" i="1"/>
  <c r="Z335" i="1"/>
  <c r="AA336" i="1"/>
  <c r="V339" i="1"/>
  <c r="W339" i="1" s="1"/>
  <c r="P339" i="1" s="1"/>
  <c r="AK344" i="1"/>
  <c r="U220" i="1"/>
  <c r="G222" i="1"/>
  <c r="AA222" i="1"/>
  <c r="AE224" i="1"/>
  <c r="G225" i="1"/>
  <c r="J231" i="1"/>
  <c r="AJ231" i="1"/>
  <c r="G233" i="1"/>
  <c r="V234" i="1"/>
  <c r="W234" i="1" s="1"/>
  <c r="P234" i="1" s="1"/>
  <c r="J237" i="1"/>
  <c r="J241" i="1"/>
  <c r="AK245" i="1"/>
  <c r="AJ248" i="1"/>
  <c r="AI248" i="1" s="1"/>
  <c r="O248" i="1" s="1"/>
  <c r="G249" i="1"/>
  <c r="Z250" i="1"/>
  <c r="V254" i="1"/>
  <c r="W254" i="1" s="1"/>
  <c r="P254" i="1" s="1"/>
  <c r="AJ254" i="1"/>
  <c r="J258" i="1"/>
  <c r="AK263" i="1"/>
  <c r="AI263" i="1" s="1"/>
  <c r="O263" i="1" s="1"/>
  <c r="AA264" i="1"/>
  <c r="J266" i="1"/>
  <c r="AA271" i="1"/>
  <c r="U274" i="1"/>
  <c r="Z281" i="1"/>
  <c r="U282" i="1"/>
  <c r="W282" i="1" s="1"/>
  <c r="P282" i="1" s="1"/>
  <c r="V287" i="1"/>
  <c r="G288" i="1"/>
  <c r="Z289" i="1"/>
  <c r="U290" i="1"/>
  <c r="AA291" i="1"/>
  <c r="G293" i="1"/>
  <c r="AA293" i="1"/>
  <c r="V294" i="1"/>
  <c r="AK295" i="1"/>
  <c r="AI295" i="1" s="1"/>
  <c r="O295" i="1" s="1"/>
  <c r="AK296" i="1"/>
  <c r="AK301" i="1"/>
  <c r="AI301" i="1" s="1"/>
  <c r="O301" i="1" s="1"/>
  <c r="J303" i="1"/>
  <c r="AF304" i="1"/>
  <c r="V306" i="1"/>
  <c r="G308" i="1"/>
  <c r="U310" i="1"/>
  <c r="AK310" i="1"/>
  <c r="AK311" i="1"/>
  <c r="J312" i="1"/>
  <c r="G313" i="1"/>
  <c r="AF314" i="1"/>
  <c r="AG314" i="1" s="1"/>
  <c r="N314" i="1" s="1"/>
  <c r="Z315" i="1"/>
  <c r="AA317" i="1"/>
  <c r="J319" i="1"/>
  <c r="G322" i="1"/>
  <c r="V323" i="1"/>
  <c r="J325" i="1"/>
  <c r="G329" i="1"/>
  <c r="AK329" i="1"/>
  <c r="V331" i="1"/>
  <c r="W331" i="1" s="1"/>
  <c r="P331" i="1" s="1"/>
  <c r="V334" i="1"/>
  <c r="V338" i="1"/>
  <c r="AK340" i="1"/>
  <c r="V342" i="1"/>
  <c r="G345" i="1"/>
  <c r="Z234" i="1"/>
  <c r="AF235" i="1"/>
  <c r="AJ236" i="1"/>
  <c r="AI236" i="1" s="1"/>
  <c r="O236" i="1" s="1"/>
  <c r="AK237" i="1"/>
  <c r="AJ240" i="1"/>
  <c r="AK241" i="1"/>
  <c r="AJ244" i="1"/>
  <c r="AI244" i="1" s="1"/>
  <c r="O244" i="1" s="1"/>
  <c r="G245" i="1"/>
  <c r="AF250" i="1"/>
  <c r="AA252" i="1"/>
  <c r="J257" i="1"/>
  <c r="AF270" i="1"/>
  <c r="AK271" i="1"/>
  <c r="AI271" i="1" s="1"/>
  <c r="O271" i="1" s="1"/>
  <c r="AA272" i="1"/>
  <c r="AJ283" i="1"/>
  <c r="AI283" i="1" s="1"/>
  <c r="O283" i="1" s="1"/>
  <c r="Z294" i="1"/>
  <c r="V295" i="1"/>
  <c r="W295" i="1" s="1"/>
  <c r="P295" i="1" s="1"/>
  <c r="G296" i="1"/>
  <c r="Z297" i="1"/>
  <c r="U298" i="1"/>
  <c r="W299" i="1"/>
  <c r="P299" i="1" s="1"/>
  <c r="AA303" i="1"/>
  <c r="U305" i="1"/>
  <c r="Z306" i="1"/>
  <c r="G311" i="1"/>
  <c r="AF315" i="1"/>
  <c r="G319" i="1"/>
  <c r="Z323" i="1"/>
  <c r="V330" i="1"/>
  <c r="Z331" i="1"/>
  <c r="AF334" i="1"/>
  <c r="AJ335" i="1"/>
  <c r="AI335" i="1" s="1"/>
  <c r="O335" i="1" s="1"/>
  <c r="AF338" i="1"/>
  <c r="AF339" i="1"/>
  <c r="AF342" i="1"/>
  <c r="AF343" i="1"/>
  <c r="AJ235" i="1"/>
  <c r="AI235" i="1" s="1"/>
  <c r="O235" i="1" s="1"/>
  <c r="G237" i="1"/>
  <c r="G241" i="1"/>
  <c r="AJ246" i="1"/>
  <c r="Z246" i="1"/>
  <c r="J247" i="1"/>
  <c r="U248" i="1"/>
  <c r="AA249" i="1"/>
  <c r="AE256" i="1"/>
  <c r="V262" i="1"/>
  <c r="AJ262" i="1"/>
  <c r="J265" i="1"/>
  <c r="AJ270" i="1"/>
  <c r="G272" i="1"/>
  <c r="U279" i="1"/>
  <c r="AG285" i="1"/>
  <c r="N285" i="1" s="1"/>
  <c r="AF286" i="1"/>
  <c r="U287" i="1"/>
  <c r="W287" i="1" s="1"/>
  <c r="AF323" i="1"/>
  <c r="J339" i="1"/>
  <c r="J343" i="1"/>
  <c r="AA260" i="1"/>
  <c r="AJ275" i="1"/>
  <c r="AI275" i="1" s="1"/>
  <c r="O275" i="1" s="1"/>
  <c r="AA289" i="1"/>
  <c r="AG293" i="1"/>
  <c r="N293" i="1" s="1"/>
  <c r="J297" i="1"/>
  <c r="AK305" i="1"/>
  <c r="AK318" i="1"/>
  <c r="AF330" i="1"/>
  <c r="AK339" i="1"/>
  <c r="AI339" i="1" s="1"/>
  <c r="O339" i="1" s="1"/>
  <c r="W18" i="1"/>
  <c r="N8" i="1"/>
  <c r="Y27" i="1"/>
  <c r="Q27" i="1" s="1"/>
  <c r="P6" i="1"/>
  <c r="V5" i="1"/>
  <c r="W5" i="1" s="1"/>
  <c r="AF5" i="1"/>
  <c r="J5" i="1"/>
  <c r="Z5" i="1"/>
  <c r="Y5" i="1" s="1"/>
  <c r="Q5" i="1" s="1"/>
  <c r="AJ5" i="1"/>
  <c r="AI5" i="1" s="1"/>
  <c r="O5" i="1" s="1"/>
  <c r="N20" i="1"/>
  <c r="P30" i="1"/>
  <c r="N16" i="1"/>
  <c r="P26" i="1"/>
  <c r="U4" i="1"/>
  <c r="U8" i="1"/>
  <c r="W8" i="1" s="1"/>
  <c r="U16" i="1"/>
  <c r="W16" i="1" s="1"/>
  <c r="U24" i="1"/>
  <c r="U28" i="1"/>
  <c r="W28" i="1" s="1"/>
  <c r="V45" i="1"/>
  <c r="AF45" i="1"/>
  <c r="AG45" i="1" s="1"/>
  <c r="AE54" i="1"/>
  <c r="AG54" i="1" s="1"/>
  <c r="AA54" i="1"/>
  <c r="N65" i="1"/>
  <c r="Z90" i="1"/>
  <c r="Y90" i="1" s="1"/>
  <c r="Q90" i="1" s="1"/>
  <c r="AF90" i="1"/>
  <c r="AG90" i="1" s="1"/>
  <c r="J90" i="1"/>
  <c r="V90" i="1"/>
  <c r="AJ90" i="1"/>
  <c r="AI90" i="1" s="1"/>
  <c r="O90" i="1" s="1"/>
  <c r="AA2" i="1"/>
  <c r="Y2" i="1" s="1"/>
  <c r="Q2" i="1" s="1"/>
  <c r="J3" i="1"/>
  <c r="AE3" i="1"/>
  <c r="AA6" i="1"/>
  <c r="Y6" i="1" s="1"/>
  <c r="J7" i="1"/>
  <c r="AE7" i="1"/>
  <c r="AJ9" i="1"/>
  <c r="AI9" i="1" s="1"/>
  <c r="O9" i="1" s="1"/>
  <c r="AA10" i="1"/>
  <c r="Y10" i="1" s="1"/>
  <c r="J11" i="1"/>
  <c r="AE11" i="1"/>
  <c r="AJ13" i="1"/>
  <c r="AA14" i="1"/>
  <c r="J15" i="1"/>
  <c r="AE15" i="1"/>
  <c r="AJ17" i="1"/>
  <c r="AI17" i="1" s="1"/>
  <c r="O17" i="1" s="1"/>
  <c r="AA18" i="1"/>
  <c r="Y18" i="1" s="1"/>
  <c r="Q18" i="1" s="1"/>
  <c r="J19" i="1"/>
  <c r="AE19" i="1"/>
  <c r="AJ21" i="1"/>
  <c r="AI21" i="1" s="1"/>
  <c r="O21" i="1" s="1"/>
  <c r="AA22" i="1"/>
  <c r="Y22" i="1" s="1"/>
  <c r="J23" i="1"/>
  <c r="AE23" i="1"/>
  <c r="AJ25" i="1"/>
  <c r="AI25" i="1" s="1"/>
  <c r="O25" i="1" s="1"/>
  <c r="AA26" i="1"/>
  <c r="Y26" i="1" s="1"/>
  <c r="J27" i="1"/>
  <c r="AE27" i="1"/>
  <c r="AJ29" i="1"/>
  <c r="AI29" i="1" s="1"/>
  <c r="O29" i="1" s="1"/>
  <c r="AA30" i="1"/>
  <c r="Y30" i="1" s="1"/>
  <c r="J31" i="1"/>
  <c r="AJ32" i="1"/>
  <c r="AI32" i="1" s="1"/>
  <c r="O32" i="1" s="1"/>
  <c r="AF32" i="1"/>
  <c r="Z33" i="1"/>
  <c r="U34" i="1"/>
  <c r="AK34" i="1"/>
  <c r="J39" i="1"/>
  <c r="J43" i="1"/>
  <c r="J45" i="1"/>
  <c r="J47" i="1"/>
  <c r="AE50" i="1"/>
  <c r="AG50" i="1" s="1"/>
  <c r="AA50" i="1"/>
  <c r="J51" i="1"/>
  <c r="Z51" i="1"/>
  <c r="AK54" i="1"/>
  <c r="U56" i="1"/>
  <c r="Z64" i="1"/>
  <c r="AF64" i="1"/>
  <c r="AJ64" i="1"/>
  <c r="V64" i="1"/>
  <c r="J64" i="1"/>
  <c r="AF66" i="1"/>
  <c r="AG66" i="1" s="1"/>
  <c r="V66" i="1"/>
  <c r="AJ66" i="1"/>
  <c r="J66" i="1"/>
  <c r="AF75" i="1"/>
  <c r="Z75" i="1"/>
  <c r="V75" i="1"/>
  <c r="W75" i="1" s="1"/>
  <c r="J75" i="1"/>
  <c r="AJ75" i="1"/>
  <c r="U12" i="1"/>
  <c r="U20" i="1"/>
  <c r="W20" i="1" s="1"/>
  <c r="P32" i="1"/>
  <c r="AJ36" i="1"/>
  <c r="AI36" i="1" s="1"/>
  <c r="O36" i="1" s="1"/>
  <c r="J36" i="1"/>
  <c r="AA37" i="1"/>
  <c r="AK37" i="1"/>
  <c r="V41" i="1"/>
  <c r="AF41" i="1"/>
  <c r="AG41" i="1" s="1"/>
  <c r="J55" i="1"/>
  <c r="Z55" i="1"/>
  <c r="Z80" i="1"/>
  <c r="AF80" i="1"/>
  <c r="V80" i="1"/>
  <c r="J80" i="1"/>
  <c r="Z110" i="1"/>
  <c r="Y110" i="1" s="1"/>
  <c r="Q110" i="1" s="1"/>
  <c r="AF110" i="1"/>
  <c r="AG110" i="1" s="1"/>
  <c r="AJ110" i="1"/>
  <c r="AI110" i="1" s="1"/>
  <c r="O110" i="1" s="1"/>
  <c r="J110" i="1"/>
  <c r="V110" i="1"/>
  <c r="W110" i="1" s="1"/>
  <c r="AE118" i="1"/>
  <c r="AA118" i="1"/>
  <c r="U118" i="1"/>
  <c r="W118" i="1" s="1"/>
  <c r="AK118" i="1"/>
  <c r="Z152" i="1"/>
  <c r="AJ152" i="1"/>
  <c r="AI152" i="1" s="1"/>
  <c r="O152" i="1" s="1"/>
  <c r="V152" i="1"/>
  <c r="AF152" i="1"/>
  <c r="J152" i="1"/>
  <c r="U3" i="1"/>
  <c r="W3" i="1" s="1"/>
  <c r="AF3" i="1"/>
  <c r="U7" i="1"/>
  <c r="AF7" i="1"/>
  <c r="Z9" i="1"/>
  <c r="U11" i="1"/>
  <c r="W11" i="1" s="1"/>
  <c r="AF11" i="1"/>
  <c r="Z13" i="1"/>
  <c r="Y13" i="1" s="1"/>
  <c r="Q13" i="1" s="1"/>
  <c r="U15" i="1"/>
  <c r="W15" i="1" s="1"/>
  <c r="AF15" i="1"/>
  <c r="Z17" i="1"/>
  <c r="Y17" i="1" s="1"/>
  <c r="Q17" i="1" s="1"/>
  <c r="U19" i="1"/>
  <c r="W19" i="1" s="1"/>
  <c r="AF19" i="1"/>
  <c r="Z21" i="1"/>
  <c r="U23" i="1"/>
  <c r="W23" i="1" s="1"/>
  <c r="AF23" i="1"/>
  <c r="Z25" i="1"/>
  <c r="Y25" i="1" s="1"/>
  <c r="Q25" i="1" s="1"/>
  <c r="U27" i="1"/>
  <c r="W27" i="1" s="1"/>
  <c r="AF27" i="1"/>
  <c r="Z29" i="1"/>
  <c r="Y29" i="1" s="1"/>
  <c r="Q29" i="1" s="1"/>
  <c r="U31" i="1"/>
  <c r="AK31" i="1"/>
  <c r="J34" i="1"/>
  <c r="AJ34" i="1"/>
  <c r="V34" i="1"/>
  <c r="AE36" i="1"/>
  <c r="Z36" i="1"/>
  <c r="Y36" i="1" s="1"/>
  <c r="Q36" i="1" s="1"/>
  <c r="AE37" i="1"/>
  <c r="AG37" i="1" s="1"/>
  <c r="AA41" i="1"/>
  <c r="AA45" i="1"/>
  <c r="AK50" i="1"/>
  <c r="AJ56" i="1"/>
  <c r="V56" i="1"/>
  <c r="J56" i="1"/>
  <c r="Z56" i="1"/>
  <c r="Y56" i="1" s="1"/>
  <c r="Q56" i="1" s="1"/>
  <c r="Y61" i="1"/>
  <c r="Q61" i="1" s="1"/>
  <c r="J63" i="1"/>
  <c r="Z63" i="1"/>
  <c r="Y63" i="1" s="1"/>
  <c r="Q63" i="1" s="1"/>
  <c r="AK80" i="1"/>
  <c r="AE80" i="1"/>
  <c r="AA80" i="1"/>
  <c r="U80" i="1"/>
  <c r="W80" i="1" s="1"/>
  <c r="AK81" i="1"/>
  <c r="AA81" i="1"/>
  <c r="AA121" i="1"/>
  <c r="AK121" i="1"/>
  <c r="AK4" i="1"/>
  <c r="AI4" i="1" s="1"/>
  <c r="AK8" i="1"/>
  <c r="AI8" i="1" s="1"/>
  <c r="AK12" i="1"/>
  <c r="AI12" i="1" s="1"/>
  <c r="AK20" i="1"/>
  <c r="AI20" i="1" s="1"/>
  <c r="AK28" i="1"/>
  <c r="AI28" i="1" s="1"/>
  <c r="AA33" i="1"/>
  <c r="AK33" i="1"/>
  <c r="AI33" i="1" s="1"/>
  <c r="O33" i="1" s="1"/>
  <c r="J38" i="1"/>
  <c r="AJ38" i="1"/>
  <c r="AI38" i="1" s="1"/>
  <c r="O38" i="1" s="1"/>
  <c r="V38" i="1"/>
  <c r="W38" i="1" s="1"/>
  <c r="AA39" i="1"/>
  <c r="AK39" i="1"/>
  <c r="AJ40" i="1"/>
  <c r="AI40" i="1" s="1"/>
  <c r="O40" i="1" s="1"/>
  <c r="J40" i="1"/>
  <c r="V40" i="1"/>
  <c r="J42" i="1"/>
  <c r="AJ42" i="1"/>
  <c r="AI42" i="1" s="1"/>
  <c r="O42" i="1" s="1"/>
  <c r="V42" i="1"/>
  <c r="AA43" i="1"/>
  <c r="Y43" i="1" s="1"/>
  <c r="Q43" i="1" s="1"/>
  <c r="AK43" i="1"/>
  <c r="AJ44" i="1"/>
  <c r="AI44" i="1" s="1"/>
  <c r="O44" i="1" s="1"/>
  <c r="J44" i="1"/>
  <c r="V44" i="1"/>
  <c r="W44" i="1" s="1"/>
  <c r="J46" i="1"/>
  <c r="AJ46" i="1"/>
  <c r="AI46" i="1" s="1"/>
  <c r="O46" i="1" s="1"/>
  <c r="V46" i="1"/>
  <c r="W46" i="1" s="1"/>
  <c r="AA47" i="1"/>
  <c r="Y47" i="1" s="1"/>
  <c r="Q47" i="1" s="1"/>
  <c r="AK47" i="1"/>
  <c r="AJ48" i="1"/>
  <c r="V48" i="1"/>
  <c r="J48" i="1"/>
  <c r="Z48" i="1"/>
  <c r="AA51" i="1"/>
  <c r="AK51" i="1"/>
  <c r="AI51" i="1" s="1"/>
  <c r="O51" i="1" s="1"/>
  <c r="U54" i="1"/>
  <c r="J59" i="1"/>
  <c r="Z59" i="1"/>
  <c r="Y59" i="1" s="1"/>
  <c r="Q59" i="1" s="1"/>
  <c r="AF78" i="1"/>
  <c r="Z78" i="1"/>
  <c r="Y78" i="1" s="1"/>
  <c r="Q78" i="1" s="1"/>
  <c r="V78" i="1"/>
  <c r="J78" i="1"/>
  <c r="Z140" i="1"/>
  <c r="Y140" i="1" s="1"/>
  <c r="Q140" i="1" s="1"/>
  <c r="AJ140" i="1"/>
  <c r="AI140" i="1" s="1"/>
  <c r="O140" i="1" s="1"/>
  <c r="V140" i="1"/>
  <c r="W140" i="1" s="1"/>
  <c r="AF140" i="1"/>
  <c r="J140" i="1"/>
  <c r="W42" i="1"/>
  <c r="AJ52" i="1"/>
  <c r="V52" i="1"/>
  <c r="W52" i="1" s="1"/>
  <c r="J52" i="1"/>
  <c r="AK64" i="1"/>
  <c r="AE64" i="1"/>
  <c r="AG64" i="1" s="1"/>
  <c r="AA64" i="1"/>
  <c r="U64" i="1"/>
  <c r="AK16" i="1"/>
  <c r="AI16" i="1" s="1"/>
  <c r="O16" i="1" s="1"/>
  <c r="AJ3" i="1"/>
  <c r="AA4" i="1"/>
  <c r="AE5" i="1"/>
  <c r="AJ7" i="1"/>
  <c r="AA8" i="1"/>
  <c r="Y8" i="1" s="1"/>
  <c r="Q8" i="1" s="1"/>
  <c r="J9" i="1"/>
  <c r="AE9" i="1"/>
  <c r="AJ11" i="1"/>
  <c r="AI11" i="1" s="1"/>
  <c r="O11" i="1" s="1"/>
  <c r="AA12" i="1"/>
  <c r="J13" i="1"/>
  <c r="AE13" i="1"/>
  <c r="AJ15" i="1"/>
  <c r="AI15" i="1" s="1"/>
  <c r="O15" i="1" s="1"/>
  <c r="AA16" i="1"/>
  <c r="Y16" i="1" s="1"/>
  <c r="Q16" i="1" s="1"/>
  <c r="J17" i="1"/>
  <c r="AE17" i="1"/>
  <c r="AJ19" i="1"/>
  <c r="AI19" i="1" s="1"/>
  <c r="O19" i="1" s="1"/>
  <c r="AA20" i="1"/>
  <c r="Y20" i="1" s="1"/>
  <c r="Q20" i="1" s="1"/>
  <c r="J21" i="1"/>
  <c r="AE21" i="1"/>
  <c r="AJ23" i="1"/>
  <c r="AI23" i="1" s="1"/>
  <c r="O23" i="1" s="1"/>
  <c r="AA24" i="1"/>
  <c r="Y24" i="1" s="1"/>
  <c r="Q24" i="1" s="1"/>
  <c r="J25" i="1"/>
  <c r="AE25" i="1"/>
  <c r="AJ27" i="1"/>
  <c r="AI27" i="1" s="1"/>
  <c r="O27" i="1" s="1"/>
  <c r="AA28" i="1"/>
  <c r="Y28" i="1" s="1"/>
  <c r="Q28" i="1" s="1"/>
  <c r="J29" i="1"/>
  <c r="AE29" i="1"/>
  <c r="Z32" i="1"/>
  <c r="Y32" i="1" s="1"/>
  <c r="Q32" i="1" s="1"/>
  <c r="AA34" i="1"/>
  <c r="AF36" i="1"/>
  <c r="Z37" i="1"/>
  <c r="AJ37" i="1"/>
  <c r="Z38" i="1"/>
  <c r="AJ39" i="1"/>
  <c r="Z40" i="1"/>
  <c r="AJ41" i="1"/>
  <c r="Z42" i="1"/>
  <c r="AJ43" i="1"/>
  <c r="Z44" i="1"/>
  <c r="AJ45" i="1"/>
  <c r="Z46" i="1"/>
  <c r="AJ47" i="1"/>
  <c r="AA48" i="1"/>
  <c r="Z49" i="1"/>
  <c r="U50" i="1"/>
  <c r="W50" i="1" s="1"/>
  <c r="AF52" i="1"/>
  <c r="AG52" i="1" s="1"/>
  <c r="Z53" i="1"/>
  <c r="AJ53" i="1"/>
  <c r="V53" i="1"/>
  <c r="AF53" i="1"/>
  <c r="AG53" i="1" s="1"/>
  <c r="AK56" i="1"/>
  <c r="U58" i="1"/>
  <c r="W58" i="1" s="1"/>
  <c r="W59" i="1"/>
  <c r="AJ59" i="1"/>
  <c r="AK60" i="1"/>
  <c r="AE60" i="1"/>
  <c r="AF103" i="1"/>
  <c r="AG103" i="1" s="1"/>
  <c r="Z103" i="1"/>
  <c r="Y103" i="1" s="1"/>
  <c r="Q103" i="1" s="1"/>
  <c r="J103" i="1"/>
  <c r="V103" i="1"/>
  <c r="AJ103" i="1"/>
  <c r="Z52" i="1"/>
  <c r="Y52" i="1" s="1"/>
  <c r="Q52" i="1" s="1"/>
  <c r="AA55" i="1"/>
  <c r="AK55" i="1"/>
  <c r="AI55" i="1" s="1"/>
  <c r="O55" i="1" s="1"/>
  <c r="Z60" i="1"/>
  <c r="Y60" i="1" s="1"/>
  <c r="Q60" i="1" s="1"/>
  <c r="AJ60" i="1"/>
  <c r="V60" i="1"/>
  <c r="W60" i="1" s="1"/>
  <c r="J60" i="1"/>
  <c r="AF60" i="1"/>
  <c r="V79" i="1"/>
  <c r="J79" i="1"/>
  <c r="P96" i="1"/>
  <c r="V119" i="1"/>
  <c r="AF119" i="1"/>
  <c r="AK24" i="1"/>
  <c r="AI24" i="1" s="1"/>
  <c r="AF9" i="1"/>
  <c r="AF13" i="1"/>
  <c r="AF17" i="1"/>
  <c r="AF21" i="1"/>
  <c r="AF25" i="1"/>
  <c r="AF29" i="1"/>
  <c r="AF34" i="1"/>
  <c r="U37" i="1"/>
  <c r="W37" i="1" s="1"/>
  <c r="AE38" i="1"/>
  <c r="AA38" i="1"/>
  <c r="AE40" i="1"/>
  <c r="AA40" i="1"/>
  <c r="AE42" i="1"/>
  <c r="AA42" i="1"/>
  <c r="AE44" i="1"/>
  <c r="AA44" i="1"/>
  <c r="AE46" i="1"/>
  <c r="AA46" i="1"/>
  <c r="AF48" i="1"/>
  <c r="AG48" i="1" s="1"/>
  <c r="AJ49" i="1"/>
  <c r="V49" i="1"/>
  <c r="AF49" i="1"/>
  <c r="AG49" i="1" s="1"/>
  <c r="AA57" i="1"/>
  <c r="V70" i="1"/>
  <c r="AF88" i="1"/>
  <c r="AG88" i="1" s="1"/>
  <c r="Z88" i="1"/>
  <c r="J88" i="1"/>
  <c r="V88" i="1"/>
  <c r="AJ88" i="1"/>
  <c r="AF91" i="1"/>
  <c r="AG91" i="1" s="1"/>
  <c r="Z91" i="1"/>
  <c r="AJ91" i="1"/>
  <c r="J91" i="1"/>
  <c r="V91" i="1"/>
  <c r="W91" i="1" s="1"/>
  <c r="V31" i="1"/>
  <c r="AF31" i="1"/>
  <c r="AG31" i="1" s="1"/>
  <c r="AE33" i="1"/>
  <c r="AG33" i="1" s="1"/>
  <c r="AF38" i="1"/>
  <c r="V39" i="1"/>
  <c r="W39" i="1" s="1"/>
  <c r="AF40" i="1"/>
  <c r="Z41" i="1"/>
  <c r="AF42" i="1"/>
  <c r="V43" i="1"/>
  <c r="W43" i="1" s="1"/>
  <c r="AF44" i="1"/>
  <c r="Z45" i="1"/>
  <c r="Y45" i="1" s="1"/>
  <c r="Q45" i="1" s="1"/>
  <c r="AF46" i="1"/>
  <c r="V47" i="1"/>
  <c r="W47" i="1" s="1"/>
  <c r="V55" i="1"/>
  <c r="W55" i="1" s="1"/>
  <c r="AI69" i="1"/>
  <c r="O69" i="1" s="1"/>
  <c r="P73" i="1"/>
  <c r="AJ80" i="1"/>
  <c r="Z93" i="1"/>
  <c r="Y93" i="1" s="1"/>
  <c r="Q93" i="1" s="1"/>
  <c r="AF93" i="1"/>
  <c r="AG93" i="1" s="1"/>
  <c r="AJ93" i="1"/>
  <c r="AI93" i="1" s="1"/>
  <c r="O93" i="1" s="1"/>
  <c r="J93" i="1"/>
  <c r="V93" i="1"/>
  <c r="W93" i="1" s="1"/>
  <c r="Z105" i="1"/>
  <c r="Y105" i="1" s="1"/>
  <c r="Q105" i="1" s="1"/>
  <c r="AF105" i="1"/>
  <c r="AG105" i="1" s="1"/>
  <c r="J105" i="1"/>
  <c r="V105" i="1"/>
  <c r="AJ105" i="1"/>
  <c r="AI105" i="1" s="1"/>
  <c r="O105" i="1" s="1"/>
  <c r="AF108" i="1"/>
  <c r="AG108" i="1" s="1"/>
  <c r="Z108" i="1"/>
  <c r="Y108" i="1" s="1"/>
  <c r="Q108" i="1" s="1"/>
  <c r="AJ108" i="1"/>
  <c r="J108" i="1"/>
  <c r="V108" i="1"/>
  <c r="AE112" i="1"/>
  <c r="AA112" i="1"/>
  <c r="U112" i="1"/>
  <c r="AK112" i="1"/>
  <c r="Z121" i="1"/>
  <c r="J121" i="1"/>
  <c r="U41" i="1"/>
  <c r="U45" i="1"/>
  <c r="U49" i="1"/>
  <c r="W49" i="1" s="1"/>
  <c r="U53" i="1"/>
  <c r="W53" i="1" s="1"/>
  <c r="U57" i="1"/>
  <c r="AF57" i="1"/>
  <c r="AK59" i="1"/>
  <c r="U61" i="1"/>
  <c r="AF61" i="1"/>
  <c r="AG61" i="1" s="1"/>
  <c r="AK63" i="1"/>
  <c r="AI63" i="1" s="1"/>
  <c r="O63" i="1" s="1"/>
  <c r="AA67" i="1"/>
  <c r="Y67" i="1" s="1"/>
  <c r="Q67" i="1" s="1"/>
  <c r="AA68" i="1"/>
  <c r="J70" i="1"/>
  <c r="W71" i="1"/>
  <c r="AE72" i="1"/>
  <c r="AJ74" i="1"/>
  <c r="AI74" i="1" s="1"/>
  <c r="O74" i="1" s="1"/>
  <c r="U85" i="1"/>
  <c r="W85" i="1" s="1"/>
  <c r="J87" i="1"/>
  <c r="J89" i="1"/>
  <c r="AF95" i="1"/>
  <c r="Z95" i="1"/>
  <c r="Z97" i="1"/>
  <c r="Y97" i="1" s="1"/>
  <c r="Q97" i="1" s="1"/>
  <c r="AF97" i="1"/>
  <c r="AG97" i="1" s="1"/>
  <c r="U100" i="1"/>
  <c r="W100" i="1" s="1"/>
  <c r="U102" i="1"/>
  <c r="W102" i="1" s="1"/>
  <c r="J104" i="1"/>
  <c r="J106" i="1"/>
  <c r="V112" i="1"/>
  <c r="J112" i="1"/>
  <c r="AF112" i="1"/>
  <c r="AJ112" i="1"/>
  <c r="Z112" i="1"/>
  <c r="AI118" i="1"/>
  <c r="O118" i="1" s="1"/>
  <c r="AE122" i="1"/>
  <c r="AA122" i="1"/>
  <c r="U122" i="1"/>
  <c r="W122" i="1" s="1"/>
  <c r="AK122" i="1"/>
  <c r="AI122" i="1" s="1"/>
  <c r="O122" i="1" s="1"/>
  <c r="AA125" i="1"/>
  <c r="AK125" i="1"/>
  <c r="AK132" i="1"/>
  <c r="AA132" i="1"/>
  <c r="Z136" i="1"/>
  <c r="Y136" i="1" s="1"/>
  <c r="Q136" i="1" s="1"/>
  <c r="AJ136" i="1"/>
  <c r="AI136" i="1" s="1"/>
  <c r="O136" i="1" s="1"/>
  <c r="V136" i="1"/>
  <c r="W136" i="1" s="1"/>
  <c r="AF136" i="1"/>
  <c r="J136" i="1"/>
  <c r="Z148" i="1"/>
  <c r="Y148" i="1" s="1"/>
  <c r="Q148" i="1" s="1"/>
  <c r="AJ148" i="1"/>
  <c r="AI148" i="1" s="1"/>
  <c r="O148" i="1" s="1"/>
  <c r="V148" i="1"/>
  <c r="W148" i="1" s="1"/>
  <c r="AF148" i="1"/>
  <c r="J148" i="1"/>
  <c r="Z164" i="1"/>
  <c r="Y164" i="1" s="1"/>
  <c r="Q164" i="1" s="1"/>
  <c r="AJ164" i="1"/>
  <c r="V164" i="1"/>
  <c r="W164" i="1" s="1"/>
  <c r="AF164" i="1"/>
  <c r="J164" i="1"/>
  <c r="AJ50" i="1"/>
  <c r="AI50" i="1" s="1"/>
  <c r="O50" i="1" s="1"/>
  <c r="AJ54" i="1"/>
  <c r="AI54" i="1" s="1"/>
  <c r="O54" i="1" s="1"/>
  <c r="V57" i="1"/>
  <c r="AJ58" i="1"/>
  <c r="V61" i="1"/>
  <c r="AJ62" i="1"/>
  <c r="AI62" i="1" s="1"/>
  <c r="O62" i="1" s="1"/>
  <c r="AE68" i="1"/>
  <c r="AG68" i="1" s="1"/>
  <c r="U70" i="1"/>
  <c r="AF72" i="1"/>
  <c r="Z73" i="1"/>
  <c r="AF73" i="1"/>
  <c r="AG73" i="1" s="1"/>
  <c r="AJ73" i="1"/>
  <c r="AI73" i="1" s="1"/>
  <c r="O73" i="1" s="1"/>
  <c r="AA76" i="1"/>
  <c r="Y76" i="1" s="1"/>
  <c r="Q76" i="1" s="1"/>
  <c r="AF79" i="1"/>
  <c r="AG79" i="1" s="1"/>
  <c r="Z79" i="1"/>
  <c r="Y79" i="1" s="1"/>
  <c r="Q79" i="1" s="1"/>
  <c r="AJ79" i="1"/>
  <c r="AF84" i="1"/>
  <c r="AG84" i="1" s="1"/>
  <c r="Z84" i="1"/>
  <c r="Y84" i="1" s="1"/>
  <c r="Q84" i="1" s="1"/>
  <c r="Z86" i="1"/>
  <c r="Y86" i="1" s="1"/>
  <c r="Q86" i="1" s="1"/>
  <c r="AF86" i="1"/>
  <c r="AG86" i="1" s="1"/>
  <c r="U87" i="1"/>
  <c r="U89" i="1"/>
  <c r="W89" i="1" s="1"/>
  <c r="V95" i="1"/>
  <c r="V97" i="1"/>
  <c r="W97" i="1" s="1"/>
  <c r="AF99" i="1"/>
  <c r="AG99" i="1" s="1"/>
  <c r="Z99" i="1"/>
  <c r="Y99" i="1" s="1"/>
  <c r="Q99" i="1" s="1"/>
  <c r="Z101" i="1"/>
  <c r="Y101" i="1" s="1"/>
  <c r="Q101" i="1" s="1"/>
  <c r="AF101" i="1"/>
  <c r="U104" i="1"/>
  <c r="U106" i="1"/>
  <c r="W106" i="1" s="1"/>
  <c r="AI111" i="1"/>
  <c r="O111" i="1" s="1"/>
  <c r="AJ115" i="1"/>
  <c r="Z117" i="1"/>
  <c r="J117" i="1"/>
  <c r="AE131" i="1"/>
  <c r="AA131" i="1"/>
  <c r="AK131" i="1"/>
  <c r="AI131" i="1" s="1"/>
  <c r="O131" i="1" s="1"/>
  <c r="U131" i="1"/>
  <c r="W131" i="1" s="1"/>
  <c r="AJ57" i="1"/>
  <c r="AA58" i="1"/>
  <c r="Y58" i="1" s="1"/>
  <c r="Q58" i="1" s="1"/>
  <c r="AJ61" i="1"/>
  <c r="AA62" i="1"/>
  <c r="Y62" i="1" s="1"/>
  <c r="AF67" i="1"/>
  <c r="AJ72" i="1"/>
  <c r="AI72" i="1" s="1"/>
  <c r="O72" i="1" s="1"/>
  <c r="W74" i="1"/>
  <c r="Z77" i="1"/>
  <c r="Y77" i="1" s="1"/>
  <c r="Q77" i="1" s="1"/>
  <c r="AF77" i="1"/>
  <c r="AJ77" i="1"/>
  <c r="AI77" i="1" s="1"/>
  <c r="O77" i="1" s="1"/>
  <c r="AF83" i="1"/>
  <c r="AG83" i="1" s="1"/>
  <c r="Z83" i="1"/>
  <c r="Y83" i="1" s="1"/>
  <c r="Q83" i="1" s="1"/>
  <c r="AJ83" i="1"/>
  <c r="AF92" i="1"/>
  <c r="AG92" i="1" s="1"/>
  <c r="Z92" i="1"/>
  <c r="Y92" i="1" s="1"/>
  <c r="Q92" i="1" s="1"/>
  <c r="Z94" i="1"/>
  <c r="Y94" i="1" s="1"/>
  <c r="Q94" i="1" s="1"/>
  <c r="AF94" i="1"/>
  <c r="AG94" i="1" s="1"/>
  <c r="W95" i="1"/>
  <c r="AF107" i="1"/>
  <c r="AG107" i="1" s="1"/>
  <c r="Z107" i="1"/>
  <c r="Y107" i="1" s="1"/>
  <c r="Q107" i="1" s="1"/>
  <c r="Z109" i="1"/>
  <c r="AF109" i="1"/>
  <c r="AG109" i="1" s="1"/>
  <c r="Z113" i="1"/>
  <c r="Y113" i="1" s="1"/>
  <c r="Q113" i="1" s="1"/>
  <c r="J113" i="1"/>
  <c r="AJ177" i="1"/>
  <c r="V177" i="1"/>
  <c r="W177" i="1" s="1"/>
  <c r="AF177" i="1"/>
  <c r="AG177" i="1" s="1"/>
  <c r="J177" i="1"/>
  <c r="Z177" i="1"/>
  <c r="Y177" i="1" s="1"/>
  <c r="Q177" i="1" s="1"/>
  <c r="AF35" i="1"/>
  <c r="AF39" i="1"/>
  <c r="AG39" i="1" s="1"/>
  <c r="AK41" i="1"/>
  <c r="AF43" i="1"/>
  <c r="AG43" i="1" s="1"/>
  <c r="AK45" i="1"/>
  <c r="AF47" i="1"/>
  <c r="AK49" i="1"/>
  <c r="AF51" i="1"/>
  <c r="AG51" i="1" s="1"/>
  <c r="AK53" i="1"/>
  <c r="AF55" i="1"/>
  <c r="AK57" i="1"/>
  <c r="AF59" i="1"/>
  <c r="AG59" i="1" s="1"/>
  <c r="AK61" i="1"/>
  <c r="AF63" i="1"/>
  <c r="AG63" i="1" s="1"/>
  <c r="U68" i="1"/>
  <c r="U72" i="1"/>
  <c r="Z74" i="1"/>
  <c r="Y74" i="1" s="1"/>
  <c r="Q74" i="1" s="1"/>
  <c r="V77" i="1"/>
  <c r="U79" i="1"/>
  <c r="W79" i="1" s="1"/>
  <c r="AJ82" i="1"/>
  <c r="G84" i="1"/>
  <c r="U84" i="1"/>
  <c r="W84" i="1" s="1"/>
  <c r="U86" i="1"/>
  <c r="V92" i="1"/>
  <c r="V94" i="1"/>
  <c r="AF96" i="1"/>
  <c r="AG96" i="1" s="1"/>
  <c r="Z96" i="1"/>
  <c r="Y96" i="1" s="1"/>
  <c r="Q96" i="1" s="1"/>
  <c r="Z98" i="1"/>
  <c r="Y98" i="1" s="1"/>
  <c r="Q98" i="1" s="1"/>
  <c r="AF98" i="1"/>
  <c r="AG98" i="1" s="1"/>
  <c r="U99" i="1"/>
  <c r="W99" i="1" s="1"/>
  <c r="U101" i="1"/>
  <c r="V107" i="1"/>
  <c r="V109" i="1"/>
  <c r="AF111" i="1"/>
  <c r="Z111" i="1"/>
  <c r="AA113" i="1"/>
  <c r="AE114" i="1"/>
  <c r="AA114" i="1"/>
  <c r="U114" i="1"/>
  <c r="W114" i="1" s="1"/>
  <c r="AK114" i="1"/>
  <c r="AI114" i="1" s="1"/>
  <c r="O114" i="1" s="1"/>
  <c r="AA117" i="1"/>
  <c r="AK117" i="1"/>
  <c r="W119" i="1"/>
  <c r="AF123" i="1"/>
  <c r="J126" i="1"/>
  <c r="Z126" i="1"/>
  <c r="Z132" i="1"/>
  <c r="AJ132" i="1"/>
  <c r="AI132" i="1" s="1"/>
  <c r="O132" i="1" s="1"/>
  <c r="V132" i="1"/>
  <c r="W132" i="1" s="1"/>
  <c r="AF132" i="1"/>
  <c r="J132" i="1"/>
  <c r="W152" i="1"/>
  <c r="Z156" i="1"/>
  <c r="Y156" i="1" s="1"/>
  <c r="Q156" i="1" s="1"/>
  <c r="AJ156" i="1"/>
  <c r="AI156" i="1" s="1"/>
  <c r="O156" i="1" s="1"/>
  <c r="V156" i="1"/>
  <c r="AF156" i="1"/>
  <c r="J156" i="1"/>
  <c r="AE58" i="1"/>
  <c r="AE62" i="1"/>
  <c r="Z65" i="1"/>
  <c r="Y65" i="1" s="1"/>
  <c r="Q65" i="1" s="1"/>
  <c r="U66" i="1"/>
  <c r="W66" i="1" s="1"/>
  <c r="J67" i="1"/>
  <c r="U67" i="1"/>
  <c r="AJ67" i="1"/>
  <c r="J68" i="1"/>
  <c r="V68" i="1"/>
  <c r="AJ68" i="1"/>
  <c r="AI68" i="1" s="1"/>
  <c r="O68" i="1" s="1"/>
  <c r="AF71" i="1"/>
  <c r="AG71" i="1" s="1"/>
  <c r="Z71" i="1"/>
  <c r="Y71" i="1" s="1"/>
  <c r="Q71" i="1" s="1"/>
  <c r="AJ71" i="1"/>
  <c r="J72" i="1"/>
  <c r="V72" i="1"/>
  <c r="AA73" i="1"/>
  <c r="AJ76" i="1"/>
  <c r="AI76" i="1" s="1"/>
  <c r="O76" i="1" s="1"/>
  <c r="J77" i="1"/>
  <c r="U78" i="1"/>
  <c r="Z81" i="1"/>
  <c r="Y81" i="1" s="1"/>
  <c r="Q81" i="1" s="1"/>
  <c r="AF81" i="1"/>
  <c r="AG81" i="1" s="1"/>
  <c r="AJ81" i="1"/>
  <c r="J83" i="1"/>
  <c r="V83" i="1"/>
  <c r="Z85" i="1"/>
  <c r="Y85" i="1" s="1"/>
  <c r="Q85" i="1" s="1"/>
  <c r="AF85" i="1"/>
  <c r="U88" i="1"/>
  <c r="W88" i="1" s="1"/>
  <c r="U90" i="1"/>
  <c r="J92" i="1"/>
  <c r="J94" i="1"/>
  <c r="AF100" i="1"/>
  <c r="AG100" i="1" s="1"/>
  <c r="Z100" i="1"/>
  <c r="Y100" i="1" s="1"/>
  <c r="Q100" i="1" s="1"/>
  <c r="Z102" i="1"/>
  <c r="Y102" i="1" s="1"/>
  <c r="Q102" i="1" s="1"/>
  <c r="AF102" i="1"/>
  <c r="AG102" i="1" s="1"/>
  <c r="U103" i="1"/>
  <c r="U105" i="1"/>
  <c r="J107" i="1"/>
  <c r="J109" i="1"/>
  <c r="AJ123" i="1"/>
  <c r="Z125" i="1"/>
  <c r="J125" i="1"/>
  <c r="U126" i="1"/>
  <c r="W126" i="1" s="1"/>
  <c r="P171" i="1"/>
  <c r="G67" i="1"/>
  <c r="G68" i="1"/>
  <c r="AF70" i="1"/>
  <c r="AG70" i="1" s="1"/>
  <c r="AJ70" i="1"/>
  <c r="AI70" i="1" s="1"/>
  <c r="O70" i="1" s="1"/>
  <c r="G72" i="1"/>
  <c r="W76" i="1"/>
  <c r="U77" i="1"/>
  <c r="U83" i="1"/>
  <c r="W83" i="1" s="1"/>
  <c r="AF87" i="1"/>
  <c r="AG87" i="1" s="1"/>
  <c r="Z87" i="1"/>
  <c r="Y87" i="1" s="1"/>
  <c r="Q87" i="1" s="1"/>
  <c r="Z89" i="1"/>
  <c r="Y89" i="1" s="1"/>
  <c r="Q89" i="1" s="1"/>
  <c r="AF89" i="1"/>
  <c r="AG89" i="1" s="1"/>
  <c r="U92" i="1"/>
  <c r="U94" i="1"/>
  <c r="AF104" i="1"/>
  <c r="AG104" i="1" s="1"/>
  <c r="Z104" i="1"/>
  <c r="Y104" i="1" s="1"/>
  <c r="Q104" i="1" s="1"/>
  <c r="Z106" i="1"/>
  <c r="Y106" i="1" s="1"/>
  <c r="Q106" i="1" s="1"/>
  <c r="AF106" i="1"/>
  <c r="AG106" i="1" s="1"/>
  <c r="U107" i="1"/>
  <c r="W107" i="1" s="1"/>
  <c r="U109" i="1"/>
  <c r="AK84" i="1"/>
  <c r="AI84" i="1" s="1"/>
  <c r="O84" i="1" s="1"/>
  <c r="AK88" i="1"/>
  <c r="AK92" i="1"/>
  <c r="AI92" i="1" s="1"/>
  <c r="O92" i="1" s="1"/>
  <c r="AK96" i="1"/>
  <c r="AI96" i="1" s="1"/>
  <c r="O96" i="1" s="1"/>
  <c r="AK100" i="1"/>
  <c r="AI100" i="1" s="1"/>
  <c r="O100" i="1" s="1"/>
  <c r="AK104" i="1"/>
  <c r="AI104" i="1" s="1"/>
  <c r="O104" i="1" s="1"/>
  <c r="AK108" i="1"/>
  <c r="AJ113" i="1"/>
  <c r="AF114" i="1"/>
  <c r="J115" i="1"/>
  <c r="AJ117" i="1"/>
  <c r="AF118" i="1"/>
  <c r="J119" i="1"/>
  <c r="AJ121" i="1"/>
  <c r="AF122" i="1"/>
  <c r="J123" i="1"/>
  <c r="AJ125" i="1"/>
  <c r="AI125" i="1" s="1"/>
  <c r="O125" i="1" s="1"/>
  <c r="AJ129" i="1"/>
  <c r="AI129" i="1" s="1"/>
  <c r="O129" i="1" s="1"/>
  <c r="U134" i="1"/>
  <c r="U150" i="1"/>
  <c r="U166" i="1"/>
  <c r="W166" i="1" s="1"/>
  <c r="AA195" i="1"/>
  <c r="AK195" i="1"/>
  <c r="AI195" i="1" s="1"/>
  <c r="O195" i="1" s="1"/>
  <c r="V168" i="1"/>
  <c r="W168" i="1" s="1"/>
  <c r="AF168" i="1"/>
  <c r="AG168" i="1" s="1"/>
  <c r="Z168" i="1"/>
  <c r="Y168" i="1" s="1"/>
  <c r="Q168" i="1" s="1"/>
  <c r="AJ168" i="1"/>
  <c r="J168" i="1"/>
  <c r="AK71" i="1"/>
  <c r="AK75" i="1"/>
  <c r="AK79" i="1"/>
  <c r="AK83" i="1"/>
  <c r="AK87" i="1"/>
  <c r="AI87" i="1" s="1"/>
  <c r="O87" i="1" s="1"/>
  <c r="AK91" i="1"/>
  <c r="AK95" i="1"/>
  <c r="AI95" i="1" s="1"/>
  <c r="O95" i="1" s="1"/>
  <c r="AK99" i="1"/>
  <c r="AI99" i="1" s="1"/>
  <c r="O99" i="1" s="1"/>
  <c r="AK103" i="1"/>
  <c r="AK107" i="1"/>
  <c r="AI107" i="1" s="1"/>
  <c r="O107" i="1" s="1"/>
  <c r="AE115" i="1"/>
  <c r="AG115" i="1" s="1"/>
  <c r="AA115" i="1"/>
  <c r="AK115" i="1"/>
  <c r="AE119" i="1"/>
  <c r="AA119" i="1"/>
  <c r="AK119" i="1"/>
  <c r="AE123" i="1"/>
  <c r="AG123" i="1" s="1"/>
  <c r="AA123" i="1"/>
  <c r="AK123" i="1"/>
  <c r="AF130" i="1"/>
  <c r="J130" i="1"/>
  <c r="Z130" i="1"/>
  <c r="G131" i="1"/>
  <c r="U146" i="1"/>
  <c r="W155" i="1"/>
  <c r="U162" i="1"/>
  <c r="W162" i="1" s="1"/>
  <c r="Z193" i="1"/>
  <c r="Y193" i="1" s="1"/>
  <c r="Q193" i="1" s="1"/>
  <c r="AJ193" i="1"/>
  <c r="V193" i="1"/>
  <c r="AF193" i="1"/>
  <c r="AG193" i="1" s="1"/>
  <c r="J193" i="1"/>
  <c r="AJ116" i="1"/>
  <c r="AI116" i="1" s="1"/>
  <c r="O116" i="1" s="1"/>
  <c r="V116" i="1"/>
  <c r="W116" i="1" s="1"/>
  <c r="J116" i="1"/>
  <c r="AJ120" i="1"/>
  <c r="AI120" i="1" s="1"/>
  <c r="O120" i="1" s="1"/>
  <c r="V120" i="1"/>
  <c r="W120" i="1" s="1"/>
  <c r="J120" i="1"/>
  <c r="AJ124" i="1"/>
  <c r="V124" i="1"/>
  <c r="W124" i="1" s="1"/>
  <c r="J124" i="1"/>
  <c r="AJ126" i="1"/>
  <c r="U142" i="1"/>
  <c r="W151" i="1"/>
  <c r="W158" i="1"/>
  <c r="W167" i="1"/>
  <c r="Z144" i="1"/>
  <c r="AJ144" i="1"/>
  <c r="V144" i="1"/>
  <c r="W144" i="1" s="1"/>
  <c r="AF144" i="1"/>
  <c r="J144" i="1"/>
  <c r="Z160" i="1"/>
  <c r="AJ160" i="1"/>
  <c r="AI160" i="1" s="1"/>
  <c r="O160" i="1" s="1"/>
  <c r="V160" i="1"/>
  <c r="W160" i="1" s="1"/>
  <c r="AF160" i="1"/>
  <c r="J160" i="1"/>
  <c r="AE111" i="1"/>
  <c r="AA111" i="1"/>
  <c r="U111" i="1"/>
  <c r="Z114" i="1"/>
  <c r="AG116" i="1"/>
  <c r="AA116" i="1"/>
  <c r="Y116" i="1" s="1"/>
  <c r="Q116" i="1" s="1"/>
  <c r="Z118" i="1"/>
  <c r="AA120" i="1"/>
  <c r="Y120" i="1" s="1"/>
  <c r="Q120" i="1" s="1"/>
  <c r="Z122" i="1"/>
  <c r="AA124" i="1"/>
  <c r="Y124" i="1" s="1"/>
  <c r="Q124" i="1" s="1"/>
  <c r="AE126" i="1"/>
  <c r="AG126" i="1" s="1"/>
  <c r="AA126" i="1"/>
  <c r="AK126" i="1"/>
  <c r="AE127" i="1"/>
  <c r="AA127" i="1"/>
  <c r="AK127" i="1"/>
  <c r="AI127" i="1" s="1"/>
  <c r="O127" i="1" s="1"/>
  <c r="AJ128" i="1"/>
  <c r="V128" i="1"/>
  <c r="W128" i="1" s="1"/>
  <c r="AF128" i="1"/>
  <c r="J128" i="1"/>
  <c r="Z128" i="1"/>
  <c r="Y128" i="1" s="1"/>
  <c r="Q128" i="1" s="1"/>
  <c r="Y133" i="1"/>
  <c r="Q133" i="1" s="1"/>
  <c r="U138" i="1"/>
  <c r="W138" i="1" s="1"/>
  <c r="W147" i="1"/>
  <c r="Y149" i="1"/>
  <c r="Q149" i="1" s="1"/>
  <c r="U154" i="1"/>
  <c r="W154" i="1" s="1"/>
  <c r="U113" i="1"/>
  <c r="AF113" i="1"/>
  <c r="AG113" i="1" s="1"/>
  <c r="Z115" i="1"/>
  <c r="AF117" i="1"/>
  <c r="AG117" i="1" s="1"/>
  <c r="Z119" i="1"/>
  <c r="AF121" i="1"/>
  <c r="AG121" i="1" s="1"/>
  <c r="Z123" i="1"/>
  <c r="AF125" i="1"/>
  <c r="AG125" i="1" s="1"/>
  <c r="Z127" i="1"/>
  <c r="AF129" i="1"/>
  <c r="AG129" i="1" s="1"/>
  <c r="Z131" i="1"/>
  <c r="Y131" i="1" s="1"/>
  <c r="Q131" i="1" s="1"/>
  <c r="AF133" i="1"/>
  <c r="AG133" i="1" s="1"/>
  <c r="AK135" i="1"/>
  <c r="AF137" i="1"/>
  <c r="Z139" i="1"/>
  <c r="AK139" i="1"/>
  <c r="AF141" i="1"/>
  <c r="AG141" i="1" s="1"/>
  <c r="Z143" i="1"/>
  <c r="AK143" i="1"/>
  <c r="AF145" i="1"/>
  <c r="AG145" i="1" s="1"/>
  <c r="Z147" i="1"/>
  <c r="AK147" i="1"/>
  <c r="AI147" i="1" s="1"/>
  <c r="O147" i="1" s="1"/>
  <c r="AF149" i="1"/>
  <c r="AK151" i="1"/>
  <c r="AI151" i="1" s="1"/>
  <c r="O151" i="1" s="1"/>
  <c r="AF153" i="1"/>
  <c r="AG153" i="1" s="1"/>
  <c r="AK155" i="1"/>
  <c r="AI155" i="1" s="1"/>
  <c r="O155" i="1" s="1"/>
  <c r="AF157" i="1"/>
  <c r="AG157" i="1" s="1"/>
  <c r="AK159" i="1"/>
  <c r="AI159" i="1" s="1"/>
  <c r="O159" i="1" s="1"/>
  <c r="AF161" i="1"/>
  <c r="AK163" i="1"/>
  <c r="AI163" i="1" s="1"/>
  <c r="O163" i="1" s="1"/>
  <c r="AF165" i="1"/>
  <c r="AK167" i="1"/>
  <c r="AI167" i="1" s="1"/>
  <c r="O167" i="1" s="1"/>
  <c r="AE169" i="1"/>
  <c r="AJ173" i="1"/>
  <c r="AI173" i="1" s="1"/>
  <c r="O173" i="1" s="1"/>
  <c r="V173" i="1"/>
  <c r="W173" i="1" s="1"/>
  <c r="AF173" i="1"/>
  <c r="AG173" i="1" s="1"/>
  <c r="V113" i="1"/>
  <c r="V117" i="1"/>
  <c r="V121" i="1"/>
  <c r="V125" i="1"/>
  <c r="W125" i="1" s="1"/>
  <c r="AE128" i="1"/>
  <c r="V129" i="1"/>
  <c r="W129" i="1" s="1"/>
  <c r="AE132" i="1"/>
  <c r="V133" i="1"/>
  <c r="AA135" i="1"/>
  <c r="AE136" i="1"/>
  <c r="AG136" i="1" s="1"/>
  <c r="V137" i="1"/>
  <c r="W137" i="1" s="1"/>
  <c r="AA139" i="1"/>
  <c r="AE140" i="1"/>
  <c r="V141" i="1"/>
  <c r="W141" i="1" s="1"/>
  <c r="AA143" i="1"/>
  <c r="AE144" i="1"/>
  <c r="V145" i="1"/>
  <c r="AA147" i="1"/>
  <c r="AE148" i="1"/>
  <c r="V149" i="1"/>
  <c r="W149" i="1" s="1"/>
  <c r="AA151" i="1"/>
  <c r="AE152" i="1"/>
  <c r="AG152" i="1" s="1"/>
  <c r="V153" i="1"/>
  <c r="W153" i="1" s="1"/>
  <c r="AA155" i="1"/>
  <c r="AE156" i="1"/>
  <c r="V157" i="1"/>
  <c r="W157" i="1" s="1"/>
  <c r="AA159" i="1"/>
  <c r="AE160" i="1"/>
  <c r="V161" i="1"/>
  <c r="AA163" i="1"/>
  <c r="Y163" i="1" s="1"/>
  <c r="Q163" i="1" s="1"/>
  <c r="AE164" i="1"/>
  <c r="AG164" i="1" s="1"/>
  <c r="V165" i="1"/>
  <c r="AA167" i="1"/>
  <c r="AJ169" i="1"/>
  <c r="AF169" i="1"/>
  <c r="Z170" i="1"/>
  <c r="Z178" i="1"/>
  <c r="Y178" i="1" s="1"/>
  <c r="Q178" i="1" s="1"/>
  <c r="W188" i="1"/>
  <c r="AI192" i="1"/>
  <c r="O192" i="1" s="1"/>
  <c r="W193" i="1"/>
  <c r="Z196" i="1"/>
  <c r="AK130" i="1"/>
  <c r="AI130" i="1" s="1"/>
  <c r="O130" i="1" s="1"/>
  <c r="Z134" i="1"/>
  <c r="AK134" i="1"/>
  <c r="AI134" i="1" s="1"/>
  <c r="O134" i="1" s="1"/>
  <c r="Z138" i="1"/>
  <c r="AK138" i="1"/>
  <c r="Z142" i="1"/>
  <c r="AK142" i="1"/>
  <c r="AI142" i="1" s="1"/>
  <c r="O142" i="1" s="1"/>
  <c r="Z146" i="1"/>
  <c r="AK146" i="1"/>
  <c r="AI146" i="1" s="1"/>
  <c r="O146" i="1" s="1"/>
  <c r="Z150" i="1"/>
  <c r="AK150" i="1"/>
  <c r="AI150" i="1" s="1"/>
  <c r="O150" i="1" s="1"/>
  <c r="Z154" i="1"/>
  <c r="AK154" i="1"/>
  <c r="AI154" i="1" s="1"/>
  <c r="O154" i="1" s="1"/>
  <c r="Z158" i="1"/>
  <c r="AK158" i="1"/>
  <c r="Z162" i="1"/>
  <c r="AK162" i="1"/>
  <c r="AI162" i="1" s="1"/>
  <c r="O162" i="1" s="1"/>
  <c r="Z166" i="1"/>
  <c r="AK166" i="1"/>
  <c r="AI166" i="1" s="1"/>
  <c r="O166" i="1" s="1"/>
  <c r="AK168" i="1"/>
  <c r="AJ170" i="1"/>
  <c r="AF170" i="1"/>
  <c r="V170" i="1"/>
  <c r="AJ178" i="1"/>
  <c r="AF178" i="1"/>
  <c r="AG178" i="1" s="1"/>
  <c r="V180" i="1"/>
  <c r="AF180" i="1"/>
  <c r="AG180" i="1" s="1"/>
  <c r="J180" i="1"/>
  <c r="Z180" i="1"/>
  <c r="Y180" i="1" s="1"/>
  <c r="Q180" i="1" s="1"/>
  <c r="Z181" i="1"/>
  <c r="Y181" i="1" s="1"/>
  <c r="Q181" i="1" s="1"/>
  <c r="AJ181" i="1"/>
  <c r="V181" i="1"/>
  <c r="W181" i="1" s="1"/>
  <c r="AF181" i="1"/>
  <c r="AG181" i="1" s="1"/>
  <c r="AK197" i="1"/>
  <c r="AA197" i="1"/>
  <c r="AA130" i="1"/>
  <c r="AA134" i="1"/>
  <c r="J135" i="1"/>
  <c r="AE135" i="1"/>
  <c r="AG135" i="1" s="1"/>
  <c r="AA138" i="1"/>
  <c r="AE139" i="1"/>
  <c r="AG139" i="1" s="1"/>
  <c r="AA142" i="1"/>
  <c r="AE143" i="1"/>
  <c r="AG143" i="1" s="1"/>
  <c r="AA146" i="1"/>
  <c r="AE147" i="1"/>
  <c r="AA150" i="1"/>
  <c r="J151" i="1"/>
  <c r="AE151" i="1"/>
  <c r="AG151" i="1" s="1"/>
  <c r="AA154" i="1"/>
  <c r="J155" i="1"/>
  <c r="AE155" i="1"/>
  <c r="AA158" i="1"/>
  <c r="J159" i="1"/>
  <c r="AE159" i="1"/>
  <c r="AA162" i="1"/>
  <c r="J163" i="1"/>
  <c r="AE163" i="1"/>
  <c r="AA166" i="1"/>
  <c r="J167" i="1"/>
  <c r="AE167" i="1"/>
  <c r="AG167" i="1" s="1"/>
  <c r="J169" i="1"/>
  <c r="U169" i="1"/>
  <c r="W169" i="1" s="1"/>
  <c r="AK169" i="1"/>
  <c r="J170" i="1"/>
  <c r="AJ174" i="1"/>
  <c r="AF174" i="1"/>
  <c r="AG174" i="1" s="1"/>
  <c r="J178" i="1"/>
  <c r="U187" i="1"/>
  <c r="W187" i="1" s="1"/>
  <c r="AA170" i="1"/>
  <c r="AK170" i="1"/>
  <c r="U170" i="1"/>
  <c r="V176" i="1"/>
  <c r="W176" i="1" s="1"/>
  <c r="AF176" i="1"/>
  <c r="AG176" i="1" s="1"/>
  <c r="J176" i="1"/>
  <c r="Z176" i="1"/>
  <c r="Y176" i="1" s="1"/>
  <c r="Q176" i="1" s="1"/>
  <c r="P179" i="1"/>
  <c r="W180" i="1"/>
  <c r="W191" i="1"/>
  <c r="AF205" i="1"/>
  <c r="AG205" i="1" s="1"/>
  <c r="J205" i="1"/>
  <c r="Z205" i="1"/>
  <c r="Y205" i="1" s="1"/>
  <c r="Q205" i="1" s="1"/>
  <c r="AJ205" i="1"/>
  <c r="AI205" i="1" s="1"/>
  <c r="O205" i="1" s="1"/>
  <c r="V205" i="1"/>
  <c r="W205" i="1" s="1"/>
  <c r="Z211" i="1"/>
  <c r="Y211" i="1" s="1"/>
  <c r="Q211" i="1" s="1"/>
  <c r="AJ211" i="1"/>
  <c r="AI211" i="1" s="1"/>
  <c r="O211" i="1" s="1"/>
  <c r="V211" i="1"/>
  <c r="AF211" i="1"/>
  <c r="J211" i="1"/>
  <c r="AE130" i="1"/>
  <c r="J134" i="1"/>
  <c r="AE134" i="1"/>
  <c r="AG134" i="1" s="1"/>
  <c r="J138" i="1"/>
  <c r="AE138" i="1"/>
  <c r="AG138" i="1" s="1"/>
  <c r="J142" i="1"/>
  <c r="AE142" i="1"/>
  <c r="AG142" i="1" s="1"/>
  <c r="J146" i="1"/>
  <c r="AE146" i="1"/>
  <c r="AG146" i="1" s="1"/>
  <c r="J150" i="1"/>
  <c r="AE150" i="1"/>
  <c r="J154" i="1"/>
  <c r="AE154" i="1"/>
  <c r="AG154" i="1" s="1"/>
  <c r="J158" i="1"/>
  <c r="AE158" i="1"/>
  <c r="J162" i="1"/>
  <c r="AE162" i="1"/>
  <c r="J166" i="1"/>
  <c r="AE166" i="1"/>
  <c r="AG166" i="1" s="1"/>
  <c r="AE170" i="1"/>
  <c r="V172" i="1"/>
  <c r="W172" i="1" s="1"/>
  <c r="AF172" i="1"/>
  <c r="AG172" i="1" s="1"/>
  <c r="J172" i="1"/>
  <c r="Z172" i="1"/>
  <c r="Y172" i="1" s="1"/>
  <c r="Q172" i="1" s="1"/>
  <c r="AE175" i="1"/>
  <c r="AG175" i="1" s="1"/>
  <c r="AA175" i="1"/>
  <c r="AK175" i="1"/>
  <c r="AI175" i="1" s="1"/>
  <c r="O175" i="1" s="1"/>
  <c r="Z185" i="1"/>
  <c r="AJ185" i="1"/>
  <c r="V185" i="1"/>
  <c r="W185" i="1" s="1"/>
  <c r="AF185" i="1"/>
  <c r="AG185" i="1" s="1"/>
  <c r="J185" i="1"/>
  <c r="AE171" i="1"/>
  <c r="AA171" i="1"/>
  <c r="AK171" i="1"/>
  <c r="AI171" i="1" s="1"/>
  <c r="O171" i="1" s="1"/>
  <c r="Z189" i="1"/>
  <c r="Y189" i="1" s="1"/>
  <c r="Q189" i="1" s="1"/>
  <c r="AJ189" i="1"/>
  <c r="AI189" i="1" s="1"/>
  <c r="O189" i="1" s="1"/>
  <c r="V189" i="1"/>
  <c r="AF189" i="1"/>
  <c r="J189" i="1"/>
  <c r="AJ199" i="1"/>
  <c r="P222" i="1"/>
  <c r="U174" i="1"/>
  <c r="U178" i="1"/>
  <c r="W178" i="1" s="1"/>
  <c r="U182" i="1"/>
  <c r="W182" i="1" s="1"/>
  <c r="AF182" i="1"/>
  <c r="Z184" i="1"/>
  <c r="Y184" i="1" s="1"/>
  <c r="Q184" i="1" s="1"/>
  <c r="U186" i="1"/>
  <c r="W186" i="1" s="1"/>
  <c r="AF186" i="1"/>
  <c r="Z188" i="1"/>
  <c r="Y188" i="1" s="1"/>
  <c r="Q188" i="1" s="1"/>
  <c r="U190" i="1"/>
  <c r="W190" i="1" s="1"/>
  <c r="AF190" i="1"/>
  <c r="AG190" i="1" s="1"/>
  <c r="Z192" i="1"/>
  <c r="Y192" i="1" s="1"/>
  <c r="Q192" i="1" s="1"/>
  <c r="U194" i="1"/>
  <c r="W194" i="1" s="1"/>
  <c r="AF194" i="1"/>
  <c r="J196" i="1"/>
  <c r="AF196" i="1"/>
  <c r="AG196" i="1" s="1"/>
  <c r="V198" i="1"/>
  <c r="W198" i="1" s="1"/>
  <c r="AK198" i="1"/>
  <c r="AI198" i="1" s="1"/>
  <c r="O198" i="1" s="1"/>
  <c r="AK199" i="1"/>
  <c r="AE199" i="1"/>
  <c r="AE200" i="1"/>
  <c r="AG200" i="1" s="1"/>
  <c r="AG206" i="1"/>
  <c r="Z207" i="1"/>
  <c r="Y207" i="1" s="1"/>
  <c r="Q207" i="1" s="1"/>
  <c r="AJ207" i="1"/>
  <c r="AF207" i="1"/>
  <c r="J207" i="1"/>
  <c r="U209" i="1"/>
  <c r="W209" i="1" s="1"/>
  <c r="AG214" i="1"/>
  <c r="Z215" i="1"/>
  <c r="Y215" i="1" s="1"/>
  <c r="Q215" i="1" s="1"/>
  <c r="AJ215" i="1"/>
  <c r="AI215" i="1" s="1"/>
  <c r="O215" i="1" s="1"/>
  <c r="V215" i="1"/>
  <c r="AF215" i="1"/>
  <c r="J215" i="1"/>
  <c r="U196" i="1"/>
  <c r="AF201" i="1"/>
  <c r="AG201" i="1" s="1"/>
  <c r="Z201" i="1"/>
  <c r="AJ201" i="1"/>
  <c r="AI201" i="1" s="1"/>
  <c r="O201" i="1" s="1"/>
  <c r="V201" i="1"/>
  <c r="Z203" i="1"/>
  <c r="Y203" i="1" s="1"/>
  <c r="Q203" i="1" s="1"/>
  <c r="AJ203" i="1"/>
  <c r="AF203" i="1"/>
  <c r="J203" i="1"/>
  <c r="N217" i="1"/>
  <c r="J219" i="1"/>
  <c r="Z219" i="1"/>
  <c r="AJ219" i="1"/>
  <c r="V219" i="1"/>
  <c r="Z171" i="1"/>
  <c r="Z175" i="1"/>
  <c r="Z179" i="1"/>
  <c r="AK179" i="1"/>
  <c r="AI179" i="1" s="1"/>
  <c r="O179" i="1" s="1"/>
  <c r="Z183" i="1"/>
  <c r="AK183" i="1"/>
  <c r="Z187" i="1"/>
  <c r="AK187" i="1"/>
  <c r="AI187" i="1" s="1"/>
  <c r="O187" i="1" s="1"/>
  <c r="Z191" i="1"/>
  <c r="AK191" i="1"/>
  <c r="AJ196" i="1"/>
  <c r="AJ197" i="1"/>
  <c r="AE197" i="1"/>
  <c r="AG197" i="1" s="1"/>
  <c r="Z198" i="1"/>
  <c r="AA179" i="1"/>
  <c r="AA183" i="1"/>
  <c r="J184" i="1"/>
  <c r="AA187" i="1"/>
  <c r="J188" i="1"/>
  <c r="AA191" i="1"/>
  <c r="J192" i="1"/>
  <c r="AF195" i="1"/>
  <c r="AK196" i="1"/>
  <c r="AF199" i="1"/>
  <c r="Z200" i="1"/>
  <c r="Y200" i="1" s="1"/>
  <c r="Q200" i="1" s="1"/>
  <c r="V200" i="1"/>
  <c r="AJ200" i="1"/>
  <c r="AI200" i="1" s="1"/>
  <c r="O200" i="1" s="1"/>
  <c r="J201" i="1"/>
  <c r="AA201" i="1"/>
  <c r="Y212" i="1"/>
  <c r="Q212" i="1" s="1"/>
  <c r="W213" i="1"/>
  <c r="AK174" i="1"/>
  <c r="AK178" i="1"/>
  <c r="AK182" i="1"/>
  <c r="AF184" i="1"/>
  <c r="AG184" i="1" s="1"/>
  <c r="AK186" i="1"/>
  <c r="AI186" i="1" s="1"/>
  <c r="O186" i="1" s="1"/>
  <c r="AF188" i="1"/>
  <c r="AG188" i="1" s="1"/>
  <c r="AK190" i="1"/>
  <c r="AI190" i="1" s="1"/>
  <c r="O190" i="1" s="1"/>
  <c r="AF192" i="1"/>
  <c r="AG192" i="1" s="1"/>
  <c r="AK194" i="1"/>
  <c r="AI194" i="1" s="1"/>
  <c r="O194" i="1" s="1"/>
  <c r="J197" i="1"/>
  <c r="AE198" i="1"/>
  <c r="AG198" i="1" s="1"/>
  <c r="U200" i="1"/>
  <c r="U201" i="1"/>
  <c r="U217" i="1"/>
  <c r="W217" i="1" s="1"/>
  <c r="Z221" i="1"/>
  <c r="Y221" i="1" s="1"/>
  <c r="Q221" i="1" s="1"/>
  <c r="J221" i="1"/>
  <c r="AE179" i="1"/>
  <c r="AG179" i="1" s="1"/>
  <c r="AE183" i="1"/>
  <c r="AE187" i="1"/>
  <c r="AG187" i="1" s="1"/>
  <c r="AE191" i="1"/>
  <c r="AE195" i="1"/>
  <c r="V195" i="1"/>
  <c r="W195" i="1" s="1"/>
  <c r="V197" i="1"/>
  <c r="W197" i="1" s="1"/>
  <c r="J200" i="1"/>
  <c r="V196" i="1"/>
  <c r="Z199" i="1"/>
  <c r="J199" i="1"/>
  <c r="G200" i="1"/>
  <c r="AF209" i="1"/>
  <c r="AG209" i="1" s="1"/>
  <c r="J209" i="1"/>
  <c r="Z209" i="1"/>
  <c r="AJ209" i="1"/>
  <c r="AI209" i="1" s="1"/>
  <c r="O209" i="1" s="1"/>
  <c r="V228" i="1"/>
  <c r="AF228" i="1"/>
  <c r="J228" i="1"/>
  <c r="AJ228" i="1"/>
  <c r="AI228" i="1" s="1"/>
  <c r="O228" i="1" s="1"/>
  <c r="Z228" i="1"/>
  <c r="Y228" i="1" s="1"/>
  <c r="Q228" i="1" s="1"/>
  <c r="U204" i="1"/>
  <c r="AF204" i="1"/>
  <c r="U208" i="1"/>
  <c r="AF208" i="1"/>
  <c r="U212" i="1"/>
  <c r="AF212" i="1"/>
  <c r="AG212" i="1" s="1"/>
  <c r="U216" i="1"/>
  <c r="AF216" i="1"/>
  <c r="AG216" i="1" s="1"/>
  <c r="Z223" i="1"/>
  <c r="AA226" i="1"/>
  <c r="Y226" i="1" s="1"/>
  <c r="Q226" i="1" s="1"/>
  <c r="AK226" i="1"/>
  <c r="AI226" i="1" s="1"/>
  <c r="O226" i="1" s="1"/>
  <c r="AE226" i="1"/>
  <c r="AG226" i="1" s="1"/>
  <c r="P235" i="1"/>
  <c r="AE246" i="1"/>
  <c r="AG246" i="1" s="1"/>
  <c r="AA246" i="1"/>
  <c r="AK246" i="1"/>
  <c r="AI246" i="1" s="1"/>
  <c r="O246" i="1" s="1"/>
  <c r="AA202" i="1"/>
  <c r="AE203" i="1"/>
  <c r="V204" i="1"/>
  <c r="AA206" i="1"/>
  <c r="Y206" i="1" s="1"/>
  <c r="Q206" i="1" s="1"/>
  <c r="AE207" i="1"/>
  <c r="V208" i="1"/>
  <c r="AA210" i="1"/>
  <c r="Y210" i="1" s="1"/>
  <c r="Q210" i="1" s="1"/>
  <c r="AE211" i="1"/>
  <c r="AG211" i="1" s="1"/>
  <c r="V212" i="1"/>
  <c r="AJ213" i="1"/>
  <c r="AA214" i="1"/>
  <c r="Y214" i="1" s="1"/>
  <c r="Q214" i="1" s="1"/>
  <c r="AE215" i="1"/>
  <c r="V216" i="1"/>
  <c r="AJ217" i="1"/>
  <c r="AI217" i="1" s="1"/>
  <c r="O217" i="1" s="1"/>
  <c r="AA218" i="1"/>
  <c r="Y218" i="1" s="1"/>
  <c r="Q218" i="1" s="1"/>
  <c r="AE219" i="1"/>
  <c r="AG219" i="1" s="1"/>
  <c r="AA220" i="1"/>
  <c r="Y220" i="1" s="1"/>
  <c r="Q220" i="1" s="1"/>
  <c r="AE222" i="1"/>
  <c r="W228" i="1"/>
  <c r="Z229" i="1"/>
  <c r="AJ229" i="1"/>
  <c r="AI229" i="1" s="1"/>
  <c r="O229" i="1" s="1"/>
  <c r="V229" i="1"/>
  <c r="AF229" i="1"/>
  <c r="AG229" i="1" s="1"/>
  <c r="G238" i="1"/>
  <c r="AE238" i="1"/>
  <c r="AG238" i="1" s="1"/>
  <c r="AA238" i="1"/>
  <c r="AK238" i="1"/>
  <c r="AI238" i="1" s="1"/>
  <c r="O238" i="1" s="1"/>
  <c r="U203" i="1"/>
  <c r="W203" i="1" s="1"/>
  <c r="U207" i="1"/>
  <c r="W207" i="1" s="1"/>
  <c r="U211" i="1"/>
  <c r="Z213" i="1"/>
  <c r="Y213" i="1" s="1"/>
  <c r="Q213" i="1" s="1"/>
  <c r="U215" i="1"/>
  <c r="W215" i="1" s="1"/>
  <c r="Z217" i="1"/>
  <c r="Y217" i="1" s="1"/>
  <c r="Q217" i="1" s="1"/>
  <c r="V220" i="1"/>
  <c r="AK221" i="1"/>
  <c r="AF222" i="1"/>
  <c r="Z225" i="1"/>
  <c r="Y225" i="1" s="1"/>
  <c r="Q225" i="1" s="1"/>
  <c r="AJ225" i="1"/>
  <c r="AI225" i="1" s="1"/>
  <c r="O225" i="1" s="1"/>
  <c r="V225" i="1"/>
  <c r="W225" i="1" s="1"/>
  <c r="Z249" i="1"/>
  <c r="N268" i="1"/>
  <c r="AK219" i="1"/>
  <c r="AA250" i="1"/>
  <c r="Y250" i="1" s="1"/>
  <c r="Q250" i="1" s="1"/>
  <c r="AE250" i="1"/>
  <c r="AG250" i="1" s="1"/>
  <c r="AK250" i="1"/>
  <c r="AI250" i="1" s="1"/>
  <c r="O250" i="1" s="1"/>
  <c r="AK204" i="1"/>
  <c r="AI204" i="1" s="1"/>
  <c r="O204" i="1" s="1"/>
  <c r="AK208" i="1"/>
  <c r="AI208" i="1" s="1"/>
  <c r="O208" i="1" s="1"/>
  <c r="AK212" i="1"/>
  <c r="AI212" i="1" s="1"/>
  <c r="O212" i="1" s="1"/>
  <c r="AK216" i="1"/>
  <c r="AI216" i="1" s="1"/>
  <c r="O216" i="1" s="1"/>
  <c r="J220" i="1"/>
  <c r="AF220" i="1"/>
  <c r="AG220" i="1" s="1"/>
  <c r="V224" i="1"/>
  <c r="W224" i="1" s="1"/>
  <c r="J224" i="1"/>
  <c r="U226" i="1"/>
  <c r="W226" i="1" s="1"/>
  <c r="Z233" i="1"/>
  <c r="Y233" i="1" s="1"/>
  <c r="Q233" i="1" s="1"/>
  <c r="Z241" i="1"/>
  <c r="Y241" i="1" s="1"/>
  <c r="Q241" i="1" s="1"/>
  <c r="Z260" i="1"/>
  <c r="Y260" i="1" s="1"/>
  <c r="Q260" i="1" s="1"/>
  <c r="AJ260" i="1"/>
  <c r="AI260" i="1" s="1"/>
  <c r="O260" i="1" s="1"/>
  <c r="V260" i="1"/>
  <c r="J260" i="1"/>
  <c r="J213" i="1"/>
  <c r="J217" i="1"/>
  <c r="AF223" i="1"/>
  <c r="J223" i="1"/>
  <c r="V223" i="1"/>
  <c r="AE230" i="1"/>
  <c r="AG230" i="1" s="1"/>
  <c r="AA230" i="1"/>
  <c r="Y230" i="1" s="1"/>
  <c r="AK230" i="1"/>
  <c r="AI230" i="1" s="1"/>
  <c r="O230" i="1" s="1"/>
  <c r="AE234" i="1"/>
  <c r="AG234" i="1" s="1"/>
  <c r="AA234" i="1"/>
  <c r="Y234" i="1" s="1"/>
  <c r="AK234" i="1"/>
  <c r="AI234" i="1" s="1"/>
  <c r="O234" i="1" s="1"/>
  <c r="AE242" i="1"/>
  <c r="AA242" i="1"/>
  <c r="Y242" i="1" s="1"/>
  <c r="Q242" i="1" s="1"/>
  <c r="AK242" i="1"/>
  <c r="AI242" i="1" s="1"/>
  <c r="O242" i="1" s="1"/>
  <c r="AJ220" i="1"/>
  <c r="AJ221" i="1"/>
  <c r="AK222" i="1"/>
  <c r="AI222" i="1" s="1"/>
  <c r="O222" i="1" s="1"/>
  <c r="AE225" i="1"/>
  <c r="AG225" i="1" s="1"/>
  <c r="U250" i="1"/>
  <c r="W250" i="1" s="1"/>
  <c r="AE265" i="1"/>
  <c r="AA265" i="1"/>
  <c r="AK265" i="1"/>
  <c r="U265" i="1"/>
  <c r="W265" i="1" s="1"/>
  <c r="AJ251" i="1"/>
  <c r="AI251" i="1" s="1"/>
  <c r="O251" i="1" s="1"/>
  <c r="AF251" i="1"/>
  <c r="J251" i="1"/>
  <c r="P257" i="1"/>
  <c r="Z264" i="1"/>
  <c r="Y264" i="1" s="1"/>
  <c r="Q264" i="1" s="1"/>
  <c r="AJ264" i="1"/>
  <c r="AI264" i="1" s="1"/>
  <c r="O264" i="1" s="1"/>
  <c r="V264" i="1"/>
  <c r="J264" i="1"/>
  <c r="AE269" i="1"/>
  <c r="AG269" i="1" s="1"/>
  <c r="AA269" i="1"/>
  <c r="AK269" i="1"/>
  <c r="AJ276" i="1"/>
  <c r="Z276" i="1"/>
  <c r="Y276" i="1" s="1"/>
  <c r="Q276" i="1" s="1"/>
  <c r="V276" i="1"/>
  <c r="J276" i="1"/>
  <c r="AE304" i="1"/>
  <c r="AG304" i="1" s="1"/>
  <c r="AA304" i="1"/>
  <c r="AK304" i="1"/>
  <c r="U304" i="1"/>
  <c r="AK309" i="1"/>
  <c r="AA309" i="1"/>
  <c r="AE321" i="1"/>
  <c r="AA321" i="1"/>
  <c r="AK321" i="1"/>
  <c r="U321" i="1"/>
  <c r="W321" i="1" s="1"/>
  <c r="U229" i="1"/>
  <c r="W229" i="1" s="1"/>
  <c r="U233" i="1"/>
  <c r="AF233" i="1"/>
  <c r="AG233" i="1" s="1"/>
  <c r="U237" i="1"/>
  <c r="AF237" i="1"/>
  <c r="AG237" i="1" s="1"/>
  <c r="U241" i="1"/>
  <c r="AF241" i="1"/>
  <c r="U245" i="1"/>
  <c r="AF245" i="1"/>
  <c r="AG245" i="1" s="1"/>
  <c r="Z247" i="1"/>
  <c r="U249" i="1"/>
  <c r="AF249" i="1"/>
  <c r="AG249" i="1" s="1"/>
  <c r="Z251" i="1"/>
  <c r="Y251" i="1" s="1"/>
  <c r="Q251" i="1" s="1"/>
  <c r="Z268" i="1"/>
  <c r="AJ268" i="1"/>
  <c r="AI268" i="1" s="1"/>
  <c r="O268" i="1" s="1"/>
  <c r="V268" i="1"/>
  <c r="J268" i="1"/>
  <c r="AA223" i="1"/>
  <c r="AA227" i="1"/>
  <c r="Y227" i="1" s="1"/>
  <c r="Q227" i="1" s="1"/>
  <c r="AE228" i="1"/>
  <c r="AA231" i="1"/>
  <c r="J232" i="1"/>
  <c r="AE232" i="1"/>
  <c r="V233" i="1"/>
  <c r="AA235" i="1"/>
  <c r="J236" i="1"/>
  <c r="AE236" i="1"/>
  <c r="V237" i="1"/>
  <c r="AA239" i="1"/>
  <c r="Y239" i="1" s="1"/>
  <c r="Q239" i="1" s="1"/>
  <c r="J240" i="1"/>
  <c r="AE240" i="1"/>
  <c r="V241" i="1"/>
  <c r="AA243" i="1"/>
  <c r="J244" i="1"/>
  <c r="AE244" i="1"/>
  <c r="V245" i="1"/>
  <c r="AA247" i="1"/>
  <c r="J248" i="1"/>
  <c r="AE248" i="1"/>
  <c r="V249" i="1"/>
  <c r="U251" i="1"/>
  <c r="W251" i="1" s="1"/>
  <c r="Z272" i="1"/>
  <c r="AJ272" i="1"/>
  <c r="AI272" i="1" s="1"/>
  <c r="V272" i="1"/>
  <c r="J272" i="1"/>
  <c r="U273" i="1"/>
  <c r="AE273" i="1"/>
  <c r="AG276" i="1"/>
  <c r="AF232" i="1"/>
  <c r="AF236" i="1"/>
  <c r="AF240" i="1"/>
  <c r="AF244" i="1"/>
  <c r="AF248" i="1"/>
  <c r="AE253" i="1"/>
  <c r="AG253" i="1" s="1"/>
  <c r="AA253" i="1"/>
  <c r="AK253" i="1"/>
  <c r="U269" i="1"/>
  <c r="W269" i="1" s="1"/>
  <c r="AE223" i="1"/>
  <c r="AG223" i="1" s="1"/>
  <c r="J227" i="1"/>
  <c r="AE227" i="1"/>
  <c r="AE231" i="1"/>
  <c r="AG231" i="1" s="1"/>
  <c r="V232" i="1"/>
  <c r="W232" i="1" s="1"/>
  <c r="AJ233" i="1"/>
  <c r="J235" i="1"/>
  <c r="AE235" i="1"/>
  <c r="AG235" i="1" s="1"/>
  <c r="V236" i="1"/>
  <c r="AJ237" i="1"/>
  <c r="AI237" i="1" s="1"/>
  <c r="O237" i="1" s="1"/>
  <c r="J239" i="1"/>
  <c r="AE239" i="1"/>
  <c r="V240" i="1"/>
  <c r="W240" i="1" s="1"/>
  <c r="AJ241" i="1"/>
  <c r="AI241" i="1" s="1"/>
  <c r="O241" i="1" s="1"/>
  <c r="J243" i="1"/>
  <c r="AE243" i="1"/>
  <c r="AG243" i="1" s="1"/>
  <c r="V244" i="1"/>
  <c r="W244" i="1" s="1"/>
  <c r="AJ245" i="1"/>
  <c r="AI245" i="1" s="1"/>
  <c r="O245" i="1" s="1"/>
  <c r="AE247" i="1"/>
  <c r="AG247" i="1" s="1"/>
  <c r="V248" i="1"/>
  <c r="W248" i="1" s="1"/>
  <c r="AJ249" i="1"/>
  <c r="AI249" i="1" s="1"/>
  <c r="O249" i="1" s="1"/>
  <c r="V252" i="1"/>
  <c r="G253" i="1"/>
  <c r="G254" i="1"/>
  <c r="AE254" i="1"/>
  <c r="AG254" i="1" s="1"/>
  <c r="AA254" i="1"/>
  <c r="AK254" i="1"/>
  <c r="AJ255" i="1"/>
  <c r="AI255" i="1" s="1"/>
  <c r="O255" i="1" s="1"/>
  <c r="V255" i="1"/>
  <c r="AF255" i="1"/>
  <c r="J255" i="1"/>
  <c r="Z256" i="1"/>
  <c r="AJ256" i="1"/>
  <c r="AI256" i="1" s="1"/>
  <c r="O256" i="1" s="1"/>
  <c r="AE257" i="1"/>
  <c r="AG257" i="1" s="1"/>
  <c r="AA257" i="1"/>
  <c r="AK257" i="1"/>
  <c r="AF260" i="1"/>
  <c r="AG260" i="1" s="1"/>
  <c r="AE261" i="1"/>
  <c r="AA261" i="1"/>
  <c r="AK261" i="1"/>
  <c r="Z284" i="1"/>
  <c r="Y284" i="1" s="1"/>
  <c r="Q284" i="1" s="1"/>
  <c r="AJ284" i="1"/>
  <c r="V284" i="1"/>
  <c r="W284" i="1" s="1"/>
  <c r="J284" i="1"/>
  <c r="Z288" i="1"/>
  <c r="Y288" i="1" s="1"/>
  <c r="Q288" i="1" s="1"/>
  <c r="AJ288" i="1"/>
  <c r="AI288" i="1" s="1"/>
  <c r="O288" i="1" s="1"/>
  <c r="V288" i="1"/>
  <c r="AF288" i="1"/>
  <c r="J288" i="1"/>
  <c r="AA342" i="1"/>
  <c r="Y342" i="1" s="1"/>
  <c r="Q342" i="1" s="1"/>
  <c r="AK342" i="1"/>
  <c r="AE342" i="1"/>
  <c r="AG342" i="1" s="1"/>
  <c r="U342" i="1"/>
  <c r="U252" i="1"/>
  <c r="AF252" i="1"/>
  <c r="AG252" i="1" s="1"/>
  <c r="Z254" i="1"/>
  <c r="U256" i="1"/>
  <c r="W256" i="1" s="1"/>
  <c r="AF256" i="1"/>
  <c r="Z258" i="1"/>
  <c r="AK258" i="1"/>
  <c r="AI258" i="1" s="1"/>
  <c r="O258" i="1" s="1"/>
  <c r="U260" i="1"/>
  <c r="W260" i="1" s="1"/>
  <c r="Z262" i="1"/>
  <c r="AK262" i="1"/>
  <c r="AI262" i="1" s="1"/>
  <c r="O262" i="1" s="1"/>
  <c r="U264" i="1"/>
  <c r="Z266" i="1"/>
  <c r="AK266" i="1"/>
  <c r="AI266" i="1" s="1"/>
  <c r="O266" i="1" s="1"/>
  <c r="U268" i="1"/>
  <c r="Z270" i="1"/>
  <c r="AK270" i="1"/>
  <c r="U272" i="1"/>
  <c r="U276" i="1"/>
  <c r="W276" i="1" s="1"/>
  <c r="AK276" i="1"/>
  <c r="J277" i="1"/>
  <c r="V277" i="1"/>
  <c r="W277" i="1" s="1"/>
  <c r="AJ277" i="1"/>
  <c r="V278" i="1"/>
  <c r="W278" i="1" s="1"/>
  <c r="AJ278" i="1"/>
  <c r="V279" i="1"/>
  <c r="W279" i="1" s="1"/>
  <c r="AF279" i="1"/>
  <c r="AG279" i="1" s="1"/>
  <c r="Z280" i="1"/>
  <c r="Y280" i="1" s="1"/>
  <c r="Q280" i="1" s="1"/>
  <c r="AJ280" i="1"/>
  <c r="V280" i="1"/>
  <c r="W280" i="1" s="1"/>
  <c r="J280" i="1"/>
  <c r="Z292" i="1"/>
  <c r="Y292" i="1" s="1"/>
  <c r="Q292" i="1" s="1"/>
  <c r="AJ292" i="1"/>
  <c r="AI292" i="1" s="1"/>
  <c r="O292" i="1" s="1"/>
  <c r="V292" i="1"/>
  <c r="AF292" i="1"/>
  <c r="J292" i="1"/>
  <c r="AE251" i="1"/>
  <c r="AJ253" i="1"/>
  <c r="AE255" i="1"/>
  <c r="AJ257" i="1"/>
  <c r="AI257" i="1" s="1"/>
  <c r="O257" i="1" s="1"/>
  <c r="AA258" i="1"/>
  <c r="J259" i="1"/>
  <c r="AE259" i="1"/>
  <c r="AJ261" i="1"/>
  <c r="AA262" i="1"/>
  <c r="J263" i="1"/>
  <c r="AE263" i="1"/>
  <c r="AJ265" i="1"/>
  <c r="AI265" i="1" s="1"/>
  <c r="O265" i="1" s="1"/>
  <c r="AA266" i="1"/>
  <c r="J267" i="1"/>
  <c r="AE267" i="1"/>
  <c r="AJ269" i="1"/>
  <c r="AA270" i="1"/>
  <c r="J271" i="1"/>
  <c r="AE271" i="1"/>
  <c r="AF273" i="1"/>
  <c r="AF274" i="1"/>
  <c r="G277" i="1"/>
  <c r="AA277" i="1"/>
  <c r="Y277" i="1" s="1"/>
  <c r="Q277" i="1" s="1"/>
  <c r="AK277" i="1"/>
  <c r="AE278" i="1"/>
  <c r="AK278" i="1"/>
  <c r="AJ279" i="1"/>
  <c r="AI279" i="1" s="1"/>
  <c r="O279" i="1" s="1"/>
  <c r="AK284" i="1"/>
  <c r="AE284" i="1"/>
  <c r="AF284" i="1"/>
  <c r="Z296" i="1"/>
  <c r="Y296" i="1" s="1"/>
  <c r="Q296" i="1" s="1"/>
  <c r="AJ296" i="1"/>
  <c r="V296" i="1"/>
  <c r="AF296" i="1"/>
  <c r="J296" i="1"/>
  <c r="Z253" i="1"/>
  <c r="Z257" i="1"/>
  <c r="AF259" i="1"/>
  <c r="Z261" i="1"/>
  <c r="AF263" i="1"/>
  <c r="Z265" i="1"/>
  <c r="Y265" i="1" s="1"/>
  <c r="Q265" i="1" s="1"/>
  <c r="AF267" i="1"/>
  <c r="Z269" i="1"/>
  <c r="AF271" i="1"/>
  <c r="Z273" i="1"/>
  <c r="J279" i="1"/>
  <c r="AK280" i="1"/>
  <c r="AE280" i="1"/>
  <c r="AF280" i="1"/>
  <c r="G284" i="1"/>
  <c r="AA285" i="1"/>
  <c r="Y285" i="1" s="1"/>
  <c r="Q285" i="1" s="1"/>
  <c r="U286" i="1"/>
  <c r="W286" i="1" s="1"/>
  <c r="AE258" i="1"/>
  <c r="AG258" i="1" s="1"/>
  <c r="V259" i="1"/>
  <c r="W259" i="1" s="1"/>
  <c r="AE262" i="1"/>
  <c r="AG262" i="1" s="1"/>
  <c r="V263" i="1"/>
  <c r="W263" i="1" s="1"/>
  <c r="AE266" i="1"/>
  <c r="AG266" i="1" s="1"/>
  <c r="V267" i="1"/>
  <c r="W267" i="1" s="1"/>
  <c r="AE270" i="1"/>
  <c r="AG270" i="1" s="1"/>
  <c r="V271" i="1"/>
  <c r="W271" i="1" s="1"/>
  <c r="Z278" i="1"/>
  <c r="G280" i="1"/>
  <c r="G281" i="1"/>
  <c r="AA281" i="1"/>
  <c r="Y281" i="1" s="1"/>
  <c r="Q281" i="1" s="1"/>
  <c r="AK281" i="1"/>
  <c r="AI281" i="1" s="1"/>
  <c r="O281" i="1" s="1"/>
  <c r="Y289" i="1"/>
  <c r="Q289" i="1" s="1"/>
  <c r="J273" i="1"/>
  <c r="V273" i="1"/>
  <c r="V275" i="1"/>
  <c r="AF275" i="1"/>
  <c r="AG275" i="1" s="1"/>
  <c r="W290" i="1"/>
  <c r="AI298" i="1"/>
  <c r="O298" i="1" s="1"/>
  <c r="AJ307" i="1"/>
  <c r="J307" i="1"/>
  <c r="V307" i="1"/>
  <c r="G273" i="1"/>
  <c r="AA273" i="1"/>
  <c r="AK273" i="1"/>
  <c r="AE274" i="1"/>
  <c r="AK274" i="1"/>
  <c r="AI274" i="1" s="1"/>
  <c r="O274" i="1" s="1"/>
  <c r="AF278" i="1"/>
  <c r="Z279" i="1"/>
  <c r="Y279" i="1" s="1"/>
  <c r="Q279" i="1" s="1"/>
  <c r="Z283" i="1"/>
  <c r="Y283" i="1" s="1"/>
  <c r="Q283" i="1" s="1"/>
  <c r="U294" i="1"/>
  <c r="W294" i="1" s="1"/>
  <c r="U285" i="1"/>
  <c r="Z287" i="1"/>
  <c r="Y287" i="1" s="1"/>
  <c r="Q287" i="1" s="1"/>
  <c r="U289" i="1"/>
  <c r="U293" i="1"/>
  <c r="Z295" i="1"/>
  <c r="Y295" i="1" s="1"/>
  <c r="Q295" i="1" s="1"/>
  <c r="U297" i="1"/>
  <c r="W297" i="1" s="1"/>
  <c r="Z298" i="1"/>
  <c r="AK299" i="1"/>
  <c r="J300" i="1"/>
  <c r="Z300" i="1"/>
  <c r="V281" i="1"/>
  <c r="W281" i="1" s="1"/>
  <c r="AJ282" i="1"/>
  <c r="AI282" i="1" s="1"/>
  <c r="O282" i="1" s="1"/>
  <c r="V285" i="1"/>
  <c r="AJ286" i="1"/>
  <c r="AI286" i="1" s="1"/>
  <c r="O286" i="1" s="1"/>
  <c r="AE288" i="1"/>
  <c r="V289" i="1"/>
  <c r="AJ290" i="1"/>
  <c r="AI290" i="1" s="1"/>
  <c r="O290" i="1" s="1"/>
  <c r="AE292" i="1"/>
  <c r="V293" i="1"/>
  <c r="AJ294" i="1"/>
  <c r="AE296" i="1"/>
  <c r="AJ299" i="1"/>
  <c r="V300" i="1"/>
  <c r="W300" i="1" s="1"/>
  <c r="AJ302" i="1"/>
  <c r="AI302" i="1" s="1"/>
  <c r="O302" i="1" s="1"/>
  <c r="AF302" i="1"/>
  <c r="AG302" i="1" s="1"/>
  <c r="V302" i="1"/>
  <c r="U288" i="1"/>
  <c r="U292" i="1"/>
  <c r="U296" i="1"/>
  <c r="AE300" i="1"/>
  <c r="AK300" i="1"/>
  <c r="AA282" i="1"/>
  <c r="Y282" i="1" s="1"/>
  <c r="AA286" i="1"/>
  <c r="Y286" i="1" s="1"/>
  <c r="Q286" i="1" s="1"/>
  <c r="AA290" i="1"/>
  <c r="J291" i="1"/>
  <c r="AA294" i="1"/>
  <c r="Y294" i="1" s="1"/>
  <c r="Q294" i="1" s="1"/>
  <c r="AK297" i="1"/>
  <c r="AI297" i="1" s="1"/>
  <c r="O297" i="1" s="1"/>
  <c r="AA299" i="1"/>
  <c r="AA300" i="1"/>
  <c r="J302" i="1"/>
  <c r="AA305" i="1"/>
  <c r="V309" i="1"/>
  <c r="W309" i="1" s="1"/>
  <c r="AF309" i="1"/>
  <c r="AG309" i="1" s="1"/>
  <c r="J309" i="1"/>
  <c r="Z309" i="1"/>
  <c r="AJ309" i="1"/>
  <c r="V340" i="1"/>
  <c r="AF340" i="1"/>
  <c r="J340" i="1"/>
  <c r="AJ340" i="1"/>
  <c r="AI340" i="1" s="1"/>
  <c r="O340" i="1" s="1"/>
  <c r="Z340" i="1"/>
  <c r="Y340" i="1" s="1"/>
  <c r="Q340" i="1" s="1"/>
  <c r="AF283" i="1"/>
  <c r="AG283" i="1" s="1"/>
  <c r="AK285" i="1"/>
  <c r="AI285" i="1" s="1"/>
  <c r="AF287" i="1"/>
  <c r="AG287" i="1" s="1"/>
  <c r="AK289" i="1"/>
  <c r="AI289" i="1" s="1"/>
  <c r="AF291" i="1"/>
  <c r="AG291" i="1" s="1"/>
  <c r="AK293" i="1"/>
  <c r="AF295" i="1"/>
  <c r="AG295" i="1" s="1"/>
  <c r="J298" i="1"/>
  <c r="AF298" i="1"/>
  <c r="AG298" i="1" s="1"/>
  <c r="AF300" i="1"/>
  <c r="V301" i="1"/>
  <c r="AF301" i="1"/>
  <c r="AG301" i="1" s="1"/>
  <c r="Z301" i="1"/>
  <c r="U302" i="1"/>
  <c r="Z303" i="1"/>
  <c r="V305" i="1"/>
  <c r="AF305" i="1"/>
  <c r="AG305" i="1" s="1"/>
  <c r="J305" i="1"/>
  <c r="Z305" i="1"/>
  <c r="AJ305" i="1"/>
  <c r="J282" i="1"/>
  <c r="AE282" i="1"/>
  <c r="J286" i="1"/>
  <c r="AE286" i="1"/>
  <c r="J290" i="1"/>
  <c r="AE290" i="1"/>
  <c r="AG290" i="1" s="1"/>
  <c r="J294" i="1"/>
  <c r="AE294" i="1"/>
  <c r="AG294" i="1" s="1"/>
  <c r="AF297" i="1"/>
  <c r="Z299" i="1"/>
  <c r="AE299" i="1"/>
  <c r="AG299" i="1" s="1"/>
  <c r="Z311" i="1"/>
  <c r="U314" i="1"/>
  <c r="N319" i="1"/>
  <c r="Z333" i="1"/>
  <c r="AJ333" i="1"/>
  <c r="AI333" i="1" s="1"/>
  <c r="O333" i="1" s="1"/>
  <c r="V333" i="1"/>
  <c r="AF333" i="1"/>
  <c r="J333" i="1"/>
  <c r="AI343" i="1"/>
  <c r="O343" i="1" s="1"/>
  <c r="V298" i="1"/>
  <c r="W298" i="1" s="1"/>
  <c r="AJ300" i="1"/>
  <c r="Z307" i="1"/>
  <c r="Y307" i="1" s="1"/>
  <c r="Q307" i="1" s="1"/>
  <c r="AE308" i="1"/>
  <c r="AG308" i="1" s="1"/>
  <c r="AA308" i="1"/>
  <c r="AK308" i="1"/>
  <c r="AJ311" i="1"/>
  <c r="V311" i="1"/>
  <c r="J311" i="1"/>
  <c r="V313" i="1"/>
  <c r="Z313" i="1"/>
  <c r="Y313" i="1" s="1"/>
  <c r="Q313" i="1" s="1"/>
  <c r="AJ313" i="1"/>
  <c r="AF313" i="1"/>
  <c r="J313" i="1"/>
  <c r="AF316" i="1"/>
  <c r="J316" i="1"/>
  <c r="Z316" i="1"/>
  <c r="Y316" i="1" s="1"/>
  <c r="Q316" i="1" s="1"/>
  <c r="AJ316" i="1"/>
  <c r="AI316" i="1" s="1"/>
  <c r="O316" i="1" s="1"/>
  <c r="V316" i="1"/>
  <c r="AK320" i="1"/>
  <c r="AI320" i="1" s="1"/>
  <c r="O320" i="1" s="1"/>
  <c r="AA320" i="1"/>
  <c r="Y320" i="1" s="1"/>
  <c r="Q320" i="1" s="1"/>
  <c r="AF324" i="1"/>
  <c r="J324" i="1"/>
  <c r="Z324" i="1"/>
  <c r="Y324" i="1" s="1"/>
  <c r="Q324" i="1" s="1"/>
  <c r="AJ324" i="1"/>
  <c r="AI324" i="1" s="1"/>
  <c r="O324" i="1" s="1"/>
  <c r="V324" i="1"/>
  <c r="AA338" i="1"/>
  <c r="AK338" i="1"/>
  <c r="AE338" i="1"/>
  <c r="U338" i="1"/>
  <c r="V304" i="1"/>
  <c r="V308" i="1"/>
  <c r="AE313" i="1"/>
  <c r="AG313" i="1" s="1"/>
  <c r="AA315" i="1"/>
  <c r="AK315" i="1"/>
  <c r="AE317" i="1"/>
  <c r="AG317" i="1" s="1"/>
  <c r="AF318" i="1"/>
  <c r="AG318" i="1" s="1"/>
  <c r="AK322" i="1"/>
  <c r="AA323" i="1"/>
  <c r="Y323" i="1" s="1"/>
  <c r="Q323" i="1" s="1"/>
  <c r="AK323" i="1"/>
  <c r="U333" i="1"/>
  <c r="AK345" i="1"/>
  <c r="AA345" i="1"/>
  <c r="U303" i="1"/>
  <c r="W303" i="1" s="1"/>
  <c r="AF303" i="1"/>
  <c r="AG303" i="1" s="1"/>
  <c r="U307" i="1"/>
  <c r="AF307" i="1"/>
  <c r="AG307" i="1" s="1"/>
  <c r="U311" i="1"/>
  <c r="AF311" i="1"/>
  <c r="AG311" i="1" s="1"/>
  <c r="Z312" i="1"/>
  <c r="Y312" i="1" s="1"/>
  <c r="Q312" i="1" s="1"/>
  <c r="AA314" i="1"/>
  <c r="Y314" i="1" s="1"/>
  <c r="Q314" i="1" s="1"/>
  <c r="U316" i="1"/>
  <c r="AF317" i="1"/>
  <c r="Z318" i="1"/>
  <c r="AJ318" i="1"/>
  <c r="AI318" i="1" s="1"/>
  <c r="O318" i="1" s="1"/>
  <c r="Z321" i="1"/>
  <c r="AA322" i="1"/>
  <c r="U324" i="1"/>
  <c r="AF325" i="1"/>
  <c r="AG325" i="1" s="1"/>
  <c r="Z326" i="1"/>
  <c r="AJ326" i="1"/>
  <c r="AI326" i="1" s="1"/>
  <c r="O326" i="1" s="1"/>
  <c r="V328" i="1"/>
  <c r="AF328" i="1"/>
  <c r="J328" i="1"/>
  <c r="AE329" i="1"/>
  <c r="AA333" i="1"/>
  <c r="U334" i="1"/>
  <c r="W334" i="1" s="1"/>
  <c r="U335" i="1"/>
  <c r="W335" i="1" s="1"/>
  <c r="Z337" i="1"/>
  <c r="AJ337" i="1"/>
  <c r="AI337" i="1" s="1"/>
  <c r="O337" i="1" s="1"/>
  <c r="V337" i="1"/>
  <c r="W337" i="1" s="1"/>
  <c r="U313" i="1"/>
  <c r="AI325" i="1"/>
  <c r="O325" i="1" s="1"/>
  <c r="Z304" i="1"/>
  <c r="Y304" i="1" s="1"/>
  <c r="Q304" i="1" s="1"/>
  <c r="AF306" i="1"/>
  <c r="AG306" i="1" s="1"/>
  <c r="Z308" i="1"/>
  <c r="Y308" i="1" s="1"/>
  <c r="Q308" i="1" s="1"/>
  <c r="AF310" i="1"/>
  <c r="AG310" i="1" s="1"/>
  <c r="AJ314" i="1"/>
  <c r="AE315" i="1"/>
  <c r="AG315" i="1" s="1"/>
  <c r="U317" i="1"/>
  <c r="W317" i="1" s="1"/>
  <c r="AK317" i="1"/>
  <c r="AI317" i="1" s="1"/>
  <c r="O317" i="1" s="1"/>
  <c r="J318" i="1"/>
  <c r="AF320" i="1"/>
  <c r="J320" i="1"/>
  <c r="AE322" i="1"/>
  <c r="AG322" i="1" s="1"/>
  <c r="AE323" i="1"/>
  <c r="U325" i="1"/>
  <c r="J326" i="1"/>
  <c r="V326" i="1"/>
  <c r="W326" i="1" s="1"/>
  <c r="Z328" i="1"/>
  <c r="Y328" i="1" s="1"/>
  <c r="Q328" i="1" s="1"/>
  <c r="G330" i="1"/>
  <c r="AA330" i="1"/>
  <c r="Y330" i="1" s="1"/>
  <c r="AK330" i="1"/>
  <c r="V332" i="1"/>
  <c r="W332" i="1" s="1"/>
  <c r="AF332" i="1"/>
  <c r="J332" i="1"/>
  <c r="AE333" i="1"/>
  <c r="AG333" i="1" s="1"/>
  <c r="J337" i="1"/>
  <c r="AA337" i="1"/>
  <c r="Z341" i="1"/>
  <c r="AJ341" i="1"/>
  <c r="V341" i="1"/>
  <c r="W341" i="1" s="1"/>
  <c r="AF312" i="1"/>
  <c r="AK313" i="1"/>
  <c r="AK319" i="1"/>
  <c r="AI319" i="1" s="1"/>
  <c r="O319" i="1" s="1"/>
  <c r="V320" i="1"/>
  <c r="AE327" i="1"/>
  <c r="AG327" i="1" s="1"/>
  <c r="AA327" i="1"/>
  <c r="V344" i="1"/>
  <c r="AF344" i="1"/>
  <c r="J344" i="1"/>
  <c r="AJ344" i="1"/>
  <c r="AI344" i="1" s="1"/>
  <c r="O344" i="1" s="1"/>
  <c r="Z344" i="1"/>
  <c r="Y344" i="1" s="1"/>
  <c r="Q344" i="1" s="1"/>
  <c r="U345" i="1"/>
  <c r="AK303" i="1"/>
  <c r="AI303" i="1" s="1"/>
  <c r="O303" i="1" s="1"/>
  <c r="AK307" i="1"/>
  <c r="J314" i="1"/>
  <c r="Z317" i="1"/>
  <c r="Y317" i="1" s="1"/>
  <c r="Q317" i="1" s="1"/>
  <c r="AA318" i="1"/>
  <c r="U320" i="1"/>
  <c r="AF321" i="1"/>
  <c r="Z322" i="1"/>
  <c r="AJ322" i="1"/>
  <c r="Z325" i="1"/>
  <c r="AA326" i="1"/>
  <c r="Z329" i="1"/>
  <c r="Y329" i="1" s="1"/>
  <c r="Q329" i="1" s="1"/>
  <c r="AJ329" i="1"/>
  <c r="AI329" i="1" s="1"/>
  <c r="O329" i="1" s="1"/>
  <c r="V329" i="1"/>
  <c r="Z332" i="1"/>
  <c r="Y332" i="1" s="1"/>
  <c r="Q332" i="1" s="1"/>
  <c r="G334" i="1"/>
  <c r="AA334" i="1"/>
  <c r="Y334" i="1" s="1"/>
  <c r="Q334" i="1" s="1"/>
  <c r="AK334" i="1"/>
  <c r="V336" i="1"/>
  <c r="W336" i="1" s="1"/>
  <c r="AF336" i="1"/>
  <c r="J336" i="1"/>
  <c r="AE337" i="1"/>
  <c r="J341" i="1"/>
  <c r="AE345" i="1"/>
  <c r="AG345" i="1" s="1"/>
  <c r="AE312" i="1"/>
  <c r="V312" i="1"/>
  <c r="W312" i="1" s="1"/>
  <c r="AK314" i="1"/>
  <c r="V314" i="1"/>
  <c r="U315" i="1"/>
  <c r="W315" i="1" s="1"/>
  <c r="J321" i="1"/>
  <c r="AJ321" i="1"/>
  <c r="AI321" i="1" s="1"/>
  <c r="O321" i="1" s="1"/>
  <c r="U322" i="1"/>
  <c r="W322" i="1" s="1"/>
  <c r="U323" i="1"/>
  <c r="AJ328" i="1"/>
  <c r="AI328" i="1" s="1"/>
  <c r="O328" i="1" s="1"/>
  <c r="U329" i="1"/>
  <c r="AF337" i="1"/>
  <c r="G341" i="1"/>
  <c r="AK341" i="1"/>
  <c r="AA341" i="1"/>
  <c r="AF341" i="1"/>
  <c r="AG341" i="1" s="1"/>
  <c r="AE316" i="1"/>
  <c r="AE320" i="1"/>
  <c r="AE324" i="1"/>
  <c r="AE328" i="1"/>
  <c r="AJ330" i="1"/>
  <c r="AA331" i="1"/>
  <c r="AE332" i="1"/>
  <c r="AJ334" i="1"/>
  <c r="AA335" i="1"/>
  <c r="Y335" i="1" s="1"/>
  <c r="Q335" i="1" s="1"/>
  <c r="AE336" i="1"/>
  <c r="AJ338" i="1"/>
  <c r="AA339" i="1"/>
  <c r="Y339" i="1" s="1"/>
  <c r="Q339" i="1" s="1"/>
  <c r="AE340" i="1"/>
  <c r="AJ342" i="1"/>
  <c r="AI342" i="1" s="1"/>
  <c r="O342" i="1" s="1"/>
  <c r="AA343" i="1"/>
  <c r="Y343" i="1" s="1"/>
  <c r="Q343" i="1" s="1"/>
  <c r="AE344" i="1"/>
  <c r="V345" i="1"/>
  <c r="AE331" i="1"/>
  <c r="AG331" i="1" s="1"/>
  <c r="AE335" i="1"/>
  <c r="AG335" i="1" s="1"/>
  <c r="AE339" i="1"/>
  <c r="AG339" i="1" s="1"/>
  <c r="AE343" i="1"/>
  <c r="AG343" i="1" s="1"/>
  <c r="AJ345" i="1"/>
  <c r="N6" i="1" l="1"/>
  <c r="AC6" i="1"/>
  <c r="AG67" i="1"/>
  <c r="AG316" i="1"/>
  <c r="W323" i="1"/>
  <c r="AI322" i="1"/>
  <c r="O322" i="1" s="1"/>
  <c r="Y345" i="1"/>
  <c r="Q345" i="1" s="1"/>
  <c r="Y338" i="1"/>
  <c r="Q338" i="1" s="1"/>
  <c r="AG292" i="1"/>
  <c r="W236" i="1"/>
  <c r="Y249" i="1"/>
  <c r="Q249" i="1" s="1"/>
  <c r="Y209" i="1"/>
  <c r="Q209" i="1" s="1"/>
  <c r="AI183" i="1"/>
  <c r="O183" i="1" s="1"/>
  <c r="Y219" i="1"/>
  <c r="Q219" i="1" s="1"/>
  <c r="AG182" i="1"/>
  <c r="AG158" i="1"/>
  <c r="AC158" i="1" s="1"/>
  <c r="W161" i="1"/>
  <c r="AI143" i="1"/>
  <c r="O143" i="1" s="1"/>
  <c r="Y115" i="1"/>
  <c r="Q115" i="1" s="1"/>
  <c r="W146" i="1"/>
  <c r="W67" i="1"/>
  <c r="W101" i="1"/>
  <c r="W86" i="1"/>
  <c r="W108" i="1"/>
  <c r="P108" i="1" s="1"/>
  <c r="Y88" i="1"/>
  <c r="Q88" i="1" s="1"/>
  <c r="Y12" i="1"/>
  <c r="Q12" i="1" s="1"/>
  <c r="AI52" i="1"/>
  <c r="O52" i="1" s="1"/>
  <c r="W262" i="1"/>
  <c r="P262" i="1" s="1"/>
  <c r="W163" i="1"/>
  <c r="AI141" i="1"/>
  <c r="O141" i="1" s="1"/>
  <c r="AI34" i="1"/>
  <c r="O34" i="1" s="1"/>
  <c r="AG82" i="1"/>
  <c r="N82" i="1" s="1"/>
  <c r="Y75" i="1"/>
  <c r="Q75" i="1" s="1"/>
  <c r="AG218" i="1"/>
  <c r="AI214" i="1"/>
  <c r="O214" i="1" s="1"/>
  <c r="AG69" i="1"/>
  <c r="N69" i="1" s="1"/>
  <c r="Y50" i="1"/>
  <c r="Q50" i="1" s="1"/>
  <c r="Y137" i="1"/>
  <c r="Q137" i="1" s="1"/>
  <c r="Y216" i="1"/>
  <c r="Q216" i="1" s="1"/>
  <c r="W255" i="1"/>
  <c r="P255" i="1" s="1"/>
  <c r="AG120" i="1"/>
  <c r="AG326" i="1"/>
  <c r="N326" i="1" s="1"/>
  <c r="AG74" i="1"/>
  <c r="N74" i="1" s="1"/>
  <c r="W14" i="1"/>
  <c r="Y197" i="1"/>
  <c r="Q197" i="1" s="1"/>
  <c r="W270" i="1"/>
  <c r="P270" i="1" s="1"/>
  <c r="AI334" i="1"/>
  <c r="O334" i="1" s="1"/>
  <c r="AI305" i="1"/>
  <c r="O305" i="1" s="1"/>
  <c r="W121" i="1"/>
  <c r="W311" i="1"/>
  <c r="AI323" i="1"/>
  <c r="O323" i="1" s="1"/>
  <c r="Y305" i="1"/>
  <c r="Q305" i="1" s="1"/>
  <c r="Y298" i="1"/>
  <c r="Q298" i="1" s="1"/>
  <c r="Y269" i="1"/>
  <c r="Q269" i="1" s="1"/>
  <c r="AG261" i="1"/>
  <c r="AI233" i="1"/>
  <c r="O233" i="1" s="1"/>
  <c r="Y185" i="1"/>
  <c r="Q185" i="1" s="1"/>
  <c r="AG159" i="1"/>
  <c r="AI158" i="1"/>
  <c r="O158" i="1" s="1"/>
  <c r="AI139" i="1"/>
  <c r="O139" i="1" s="1"/>
  <c r="Y114" i="1"/>
  <c r="Q114" i="1" s="1"/>
  <c r="Y160" i="1"/>
  <c r="Q160" i="1" s="1"/>
  <c r="AI193" i="1"/>
  <c r="O193" i="1" s="1"/>
  <c r="AI82" i="1"/>
  <c r="O82" i="1" s="1"/>
  <c r="AI177" i="1"/>
  <c r="O177" i="1" s="1"/>
  <c r="AG77" i="1"/>
  <c r="Y57" i="1"/>
  <c r="Q57" i="1" s="1"/>
  <c r="W40" i="1"/>
  <c r="AI133" i="1"/>
  <c r="O133" i="1" s="1"/>
  <c r="W115" i="1"/>
  <c r="P115" i="1" s="1"/>
  <c r="W65" i="1"/>
  <c r="P65" i="1" s="1"/>
  <c r="AG189" i="1"/>
  <c r="N189" i="1" s="1"/>
  <c r="AG34" i="1"/>
  <c r="Y34" i="1"/>
  <c r="Q34" i="1" s="1"/>
  <c r="W24" i="1"/>
  <c r="AG78" i="1"/>
  <c r="W9" i="1"/>
  <c r="P9" i="1" s="1"/>
  <c r="AI332" i="1"/>
  <c r="O332" i="1" s="1"/>
  <c r="AG256" i="1"/>
  <c r="N210" i="1"/>
  <c r="AG323" i="1"/>
  <c r="W328" i="1"/>
  <c r="W338" i="1"/>
  <c r="Y309" i="1"/>
  <c r="Q309" i="1" s="1"/>
  <c r="Y199" i="1"/>
  <c r="Q199" i="1" s="1"/>
  <c r="AI203" i="1"/>
  <c r="O203" i="1" s="1"/>
  <c r="AI207" i="1"/>
  <c r="O207" i="1" s="1"/>
  <c r="AG186" i="1"/>
  <c r="AC186" i="1" s="1"/>
  <c r="AI138" i="1"/>
  <c r="O138" i="1" s="1"/>
  <c r="W165" i="1"/>
  <c r="Y155" i="1"/>
  <c r="Q155" i="1" s="1"/>
  <c r="AG137" i="1"/>
  <c r="AG58" i="1"/>
  <c r="AG55" i="1"/>
  <c r="AI164" i="1"/>
  <c r="O164" i="1" s="1"/>
  <c r="Y14" i="1"/>
  <c r="Q14" i="1" s="1"/>
  <c r="W319" i="1"/>
  <c r="AG224" i="1"/>
  <c r="W283" i="1"/>
  <c r="P283" i="1" s="1"/>
  <c r="Y169" i="1"/>
  <c r="Q169" i="1" s="1"/>
  <c r="AI218" i="1"/>
  <c r="O218" i="1" s="1"/>
  <c r="AG340" i="1"/>
  <c r="AG150" i="1"/>
  <c r="W145" i="1"/>
  <c r="P145" i="1" s="1"/>
  <c r="AG328" i="1"/>
  <c r="AI311" i="1"/>
  <c r="O311" i="1" s="1"/>
  <c r="Y311" i="1"/>
  <c r="Q311" i="1" s="1"/>
  <c r="AG286" i="1"/>
  <c r="W305" i="1"/>
  <c r="AI294" i="1"/>
  <c r="O294" i="1" s="1"/>
  <c r="AI254" i="1"/>
  <c r="O254" i="1" s="1"/>
  <c r="AG228" i="1"/>
  <c r="N228" i="1" s="1"/>
  <c r="W223" i="1"/>
  <c r="W220" i="1"/>
  <c r="Y238" i="1"/>
  <c r="Q238" i="1" s="1"/>
  <c r="AG171" i="1"/>
  <c r="AI135" i="1"/>
  <c r="O135" i="1" s="1"/>
  <c r="Y125" i="1"/>
  <c r="Q125" i="1" s="1"/>
  <c r="AI58" i="1"/>
  <c r="O58" i="1" s="1"/>
  <c r="AG95" i="1"/>
  <c r="AC95" i="1" s="1"/>
  <c r="W7" i="1"/>
  <c r="Y174" i="1"/>
  <c r="Q174" i="1" s="1"/>
  <c r="AG4" i="1"/>
  <c r="N4" i="1" s="1"/>
  <c r="Y331" i="1"/>
  <c r="AI293" i="1"/>
  <c r="O293" i="1" s="1"/>
  <c r="Y327" i="1"/>
  <c r="Q327" i="1" s="1"/>
  <c r="W342" i="1"/>
  <c r="Y231" i="1"/>
  <c r="Q231" i="1" s="1"/>
  <c r="AI191" i="1"/>
  <c r="O191" i="1" s="1"/>
  <c r="AI185" i="1"/>
  <c r="O185" i="1" s="1"/>
  <c r="W170" i="1"/>
  <c r="P170" i="1" s="1"/>
  <c r="AG163" i="1"/>
  <c r="AG161" i="1"/>
  <c r="AC161" i="1" s="1"/>
  <c r="AI128" i="1"/>
  <c r="O128" i="1" s="1"/>
  <c r="W150" i="1"/>
  <c r="AG47" i="1"/>
  <c r="N47" i="1" s="1"/>
  <c r="AI43" i="1"/>
  <c r="O43" i="1" s="1"/>
  <c r="W64" i="1"/>
  <c r="W4" i="1"/>
  <c r="W206" i="1"/>
  <c r="AI315" i="1"/>
  <c r="O315" i="1" s="1"/>
  <c r="Y151" i="1"/>
  <c r="Q151" i="1" s="1"/>
  <c r="AG140" i="1"/>
  <c r="Y49" i="1"/>
  <c r="Q49" i="1" s="1"/>
  <c r="AG32" i="1"/>
  <c r="W230" i="1"/>
  <c r="P230" i="1" s="1"/>
  <c r="Y302" i="1"/>
  <c r="Q302" i="1" s="1"/>
  <c r="Y303" i="1"/>
  <c r="Q303" i="1" s="1"/>
  <c r="Y256" i="1"/>
  <c r="Q256" i="1" s="1"/>
  <c r="Y272" i="1"/>
  <c r="Q272" i="1" s="1"/>
  <c r="AG265" i="1"/>
  <c r="AG127" i="1"/>
  <c r="N127" i="1" s="1"/>
  <c r="AG85" i="1"/>
  <c r="Y41" i="1"/>
  <c r="Q41" i="1" s="1"/>
  <c r="AG42" i="1"/>
  <c r="N42" i="1" s="1"/>
  <c r="AG5" i="1"/>
  <c r="AI31" i="1"/>
  <c r="O31" i="1" s="1"/>
  <c r="Y21" i="1"/>
  <c r="Q21" i="1" s="1"/>
  <c r="AI240" i="1"/>
  <c r="O240" i="1" s="1"/>
  <c r="W310" i="1"/>
  <c r="P310" i="1" s="1"/>
  <c r="AI65" i="1"/>
  <c r="Y235" i="1"/>
  <c r="Q235" i="1" s="1"/>
  <c r="Y229" i="1"/>
  <c r="Q229" i="1" s="1"/>
  <c r="Y198" i="1"/>
  <c r="Q198" i="1" s="1"/>
  <c r="AG162" i="1"/>
  <c r="Y159" i="1"/>
  <c r="Q159" i="1" s="1"/>
  <c r="AI144" i="1"/>
  <c r="O144" i="1" s="1"/>
  <c r="Y195" i="1"/>
  <c r="Q195" i="1" s="1"/>
  <c r="AG57" i="1"/>
  <c r="Y4" i="1"/>
  <c r="Q4" i="1" s="1"/>
  <c r="Y9" i="1"/>
  <c r="Q9" i="1" s="1"/>
  <c r="W10" i="1"/>
  <c r="P10" i="1" s="1"/>
  <c r="AG297" i="1"/>
  <c r="AC297" i="1" s="1"/>
  <c r="Y290" i="1"/>
  <c r="Q290" i="1" s="1"/>
  <c r="W325" i="1"/>
  <c r="W308" i="1"/>
  <c r="S308" i="1" s="1"/>
  <c r="Y301" i="1"/>
  <c r="Q301" i="1" s="1"/>
  <c r="AI296" i="1"/>
  <c r="O296" i="1" s="1"/>
  <c r="W264" i="1"/>
  <c r="P264" i="1" s="1"/>
  <c r="AI181" i="1"/>
  <c r="O181" i="1" s="1"/>
  <c r="Y196" i="1"/>
  <c r="Q196" i="1" s="1"/>
  <c r="W117" i="1"/>
  <c r="AI113" i="1"/>
  <c r="O113" i="1" s="1"/>
  <c r="AG35" i="1"/>
  <c r="N35" i="1" s="1"/>
  <c r="W87" i="1"/>
  <c r="Y95" i="1"/>
  <c r="Q95" i="1" s="1"/>
  <c r="W57" i="1"/>
  <c r="P57" i="1" s="1"/>
  <c r="W54" i="1"/>
  <c r="W12" i="1"/>
  <c r="W274" i="1"/>
  <c r="S274" i="1" s="1"/>
  <c r="W22" i="1"/>
  <c r="P22" i="1" s="1"/>
  <c r="AI78" i="1"/>
  <c r="O78" i="1" s="1"/>
  <c r="W307" i="1"/>
  <c r="AI273" i="1"/>
  <c r="O273" i="1" s="1"/>
  <c r="AI213" i="1"/>
  <c r="O213" i="1" s="1"/>
  <c r="AI182" i="1"/>
  <c r="O182" i="1" s="1"/>
  <c r="AG155" i="1"/>
  <c r="Y167" i="1"/>
  <c r="Q167" i="1" s="1"/>
  <c r="AG149" i="1"/>
  <c r="AI124" i="1"/>
  <c r="O124" i="1" s="1"/>
  <c r="AI119" i="1"/>
  <c r="O119" i="1" s="1"/>
  <c r="AI67" i="1"/>
  <c r="O67" i="1" s="1"/>
  <c r="Y109" i="1"/>
  <c r="Q109" i="1" s="1"/>
  <c r="Y68" i="1"/>
  <c r="Q68" i="1" s="1"/>
  <c r="AI176" i="1"/>
  <c r="O176" i="1" s="1"/>
  <c r="AI145" i="1"/>
  <c r="O145" i="1" s="1"/>
  <c r="W344" i="1"/>
  <c r="W275" i="1"/>
  <c r="S275" i="1" s="1"/>
  <c r="AG239" i="1"/>
  <c r="Y268" i="1"/>
  <c r="Q268" i="1" s="1"/>
  <c r="AG241" i="1"/>
  <c r="N241" i="1" s="1"/>
  <c r="AG204" i="1"/>
  <c r="W133" i="1"/>
  <c r="P133" i="1" s="1"/>
  <c r="AI121" i="1"/>
  <c r="O121" i="1" s="1"/>
  <c r="AG131" i="1"/>
  <c r="AI80" i="1"/>
  <c r="O80" i="1" s="1"/>
  <c r="Y53" i="1"/>
  <c r="Q53" i="1" s="1"/>
  <c r="W192" i="1"/>
  <c r="P192" i="1" s="1"/>
  <c r="AG12" i="1"/>
  <c r="N12" i="1" s="1"/>
  <c r="N2" i="1"/>
  <c r="AC2" i="1"/>
  <c r="W252" i="1"/>
  <c r="AG40" i="1"/>
  <c r="AG330" i="1"/>
  <c r="N330" i="1" s="1"/>
  <c r="AI307" i="1"/>
  <c r="O307" i="1" s="1"/>
  <c r="AG255" i="1"/>
  <c r="AG222" i="1"/>
  <c r="AC222" i="1" s="1"/>
  <c r="W291" i="1"/>
  <c r="P291" i="1" s="1"/>
  <c r="AI153" i="1"/>
  <c r="O153" i="1" s="1"/>
  <c r="S69" i="1"/>
  <c r="AI253" i="1"/>
  <c r="O253" i="1" s="1"/>
  <c r="W241" i="1"/>
  <c r="P241" i="1" s="1"/>
  <c r="Y201" i="1"/>
  <c r="Q201" i="1" s="1"/>
  <c r="AG128" i="1"/>
  <c r="AG111" i="1"/>
  <c r="N111" i="1" s="1"/>
  <c r="W68" i="1"/>
  <c r="Y37" i="1"/>
  <c r="Q37" i="1" s="1"/>
  <c r="Y336" i="1"/>
  <c r="Q336" i="1" s="1"/>
  <c r="W247" i="1"/>
  <c r="P247" i="1" s="1"/>
  <c r="W210" i="1"/>
  <c r="P210" i="1" s="1"/>
  <c r="Y246" i="1"/>
  <c r="Q246" i="1" s="1"/>
  <c r="Y315" i="1"/>
  <c r="Q315" i="1" s="1"/>
  <c r="AG334" i="1"/>
  <c r="N334" i="1" s="1"/>
  <c r="Y243" i="1"/>
  <c r="Q243" i="1" s="1"/>
  <c r="Y267" i="1"/>
  <c r="Q267" i="1" s="1"/>
  <c r="W35" i="1"/>
  <c r="AG332" i="1"/>
  <c r="Y142" i="1"/>
  <c r="Q142" i="1" s="1"/>
  <c r="AI117" i="1"/>
  <c r="O117" i="1" s="1"/>
  <c r="W77" i="1"/>
  <c r="W70" i="1"/>
  <c r="P70" i="1" s="1"/>
  <c r="Y306" i="1"/>
  <c r="Q306" i="1" s="1"/>
  <c r="AG22" i="1"/>
  <c r="W123" i="1"/>
  <c r="P123" i="1" s="1"/>
  <c r="W320" i="1"/>
  <c r="Y171" i="1"/>
  <c r="Q171" i="1" s="1"/>
  <c r="Y123" i="1"/>
  <c r="Q123" i="1" s="1"/>
  <c r="W94" i="1"/>
  <c r="AG80" i="1"/>
  <c r="W33" i="1"/>
  <c r="P33" i="1" s="1"/>
  <c r="Y190" i="1"/>
  <c r="Q190" i="1" s="1"/>
  <c r="W156" i="1"/>
  <c r="AI308" i="1"/>
  <c r="O308" i="1" s="1"/>
  <c r="W48" i="1"/>
  <c r="S48" i="1" s="1"/>
  <c r="P206" i="1"/>
  <c r="S206" i="1"/>
  <c r="N26" i="1"/>
  <c r="AC26" i="1"/>
  <c r="N30" i="1"/>
  <c r="AC30" i="1"/>
  <c r="N218" i="1"/>
  <c r="AC76" i="1"/>
  <c r="N76" i="1"/>
  <c r="AC10" i="1"/>
  <c r="N10" i="1"/>
  <c r="AG344" i="1"/>
  <c r="AG312" i="1"/>
  <c r="Y325" i="1"/>
  <c r="Q325" i="1" s="1"/>
  <c r="AI341" i="1"/>
  <c r="O341" i="1" s="1"/>
  <c r="AI314" i="1"/>
  <c r="O314" i="1" s="1"/>
  <c r="W302" i="1"/>
  <c r="AG288" i="1"/>
  <c r="N288" i="1" s="1"/>
  <c r="W285" i="1"/>
  <c r="AG280" i="1"/>
  <c r="AG278" i="1"/>
  <c r="AI277" i="1"/>
  <c r="O277" i="1" s="1"/>
  <c r="W268" i="1"/>
  <c r="P268" i="1" s="1"/>
  <c r="Y258" i="1"/>
  <c r="Q258" i="1" s="1"/>
  <c r="P274" i="1"/>
  <c r="AG242" i="1"/>
  <c r="N242" i="1" s="1"/>
  <c r="W211" i="1"/>
  <c r="W212" i="1"/>
  <c r="S212" i="1" s="1"/>
  <c r="AI199" i="1"/>
  <c r="O199" i="1" s="1"/>
  <c r="AG156" i="1"/>
  <c r="Y135" i="1"/>
  <c r="Q135" i="1" s="1"/>
  <c r="AG165" i="1"/>
  <c r="W103" i="1"/>
  <c r="AG122" i="1"/>
  <c r="N122" i="1" s="1"/>
  <c r="W45" i="1"/>
  <c r="AI47" i="1"/>
  <c r="O47" i="1" s="1"/>
  <c r="AI39" i="1"/>
  <c r="O39" i="1" s="1"/>
  <c r="Y48" i="1"/>
  <c r="Q48" i="1" s="1"/>
  <c r="AI75" i="1"/>
  <c r="O75" i="1" s="1"/>
  <c r="AG18" i="1"/>
  <c r="W202" i="1"/>
  <c r="AG274" i="1"/>
  <c r="N274" i="1" s="1"/>
  <c r="Y278" i="1"/>
  <c r="Q278" i="1" s="1"/>
  <c r="AI269" i="1"/>
  <c r="O269" i="1" s="1"/>
  <c r="AG208" i="1"/>
  <c r="AI196" i="1"/>
  <c r="O196" i="1" s="1"/>
  <c r="Y179" i="1"/>
  <c r="Q179" i="1" s="1"/>
  <c r="AG194" i="1"/>
  <c r="S192" i="1"/>
  <c r="AG144" i="1"/>
  <c r="N144" i="1" s="1"/>
  <c r="W142" i="1"/>
  <c r="AG62" i="1"/>
  <c r="N62" i="1" s="1"/>
  <c r="Y111" i="1"/>
  <c r="Q111" i="1" s="1"/>
  <c r="AI115" i="1"/>
  <c r="O115" i="1" s="1"/>
  <c r="AI79" i="1"/>
  <c r="O79" i="1" s="1"/>
  <c r="Y91" i="1"/>
  <c r="Q91" i="1" s="1"/>
  <c r="AI49" i="1"/>
  <c r="O49" i="1" s="1"/>
  <c r="AI3" i="1"/>
  <c r="O3" i="1" s="1"/>
  <c r="AI13" i="1"/>
  <c r="O13" i="1" s="1"/>
  <c r="AI18" i="1"/>
  <c r="O18" i="1" s="1"/>
  <c r="Y322" i="1"/>
  <c r="Q322" i="1" s="1"/>
  <c r="W345" i="1"/>
  <c r="Y337" i="1"/>
  <c r="Q337" i="1" s="1"/>
  <c r="W288" i="1"/>
  <c r="AG296" i="1"/>
  <c r="AG267" i="1"/>
  <c r="N267" i="1" s="1"/>
  <c r="AI280" i="1"/>
  <c r="O280" i="1" s="1"/>
  <c r="AI220" i="1"/>
  <c r="O220" i="1" s="1"/>
  <c r="Y175" i="1"/>
  <c r="Q175" i="1" s="1"/>
  <c r="Y119" i="1"/>
  <c r="Q119" i="1" s="1"/>
  <c r="Y144" i="1"/>
  <c r="Q144" i="1" s="1"/>
  <c r="W92" i="1"/>
  <c r="AI37" i="1"/>
  <c r="O37" i="1" s="1"/>
  <c r="AI206" i="1"/>
  <c r="O206" i="1" s="1"/>
  <c r="W218" i="1"/>
  <c r="P218" i="1" s="1"/>
  <c r="Y293" i="1"/>
  <c r="Q293" i="1" s="1"/>
  <c r="AG338" i="1"/>
  <c r="AG282" i="1"/>
  <c r="W301" i="1"/>
  <c r="S301" i="1" s="1"/>
  <c r="W340" i="1"/>
  <c r="Y254" i="1"/>
  <c r="Q254" i="1" s="1"/>
  <c r="W304" i="1"/>
  <c r="S304" i="1" s="1"/>
  <c r="AG191" i="1"/>
  <c r="Y191" i="1"/>
  <c r="Q191" i="1" s="1"/>
  <c r="AG170" i="1"/>
  <c r="AG147" i="1"/>
  <c r="AI112" i="1"/>
  <c r="O112" i="1" s="1"/>
  <c r="AI88" i="1"/>
  <c r="O88" i="1" s="1"/>
  <c r="AG25" i="1"/>
  <c r="AG17" i="1"/>
  <c r="AC17" i="1" s="1"/>
  <c r="AI48" i="1"/>
  <c r="O48" i="1" s="1"/>
  <c r="Y55" i="1"/>
  <c r="Q55" i="1" s="1"/>
  <c r="AI231" i="1"/>
  <c r="O231" i="1" s="1"/>
  <c r="Y182" i="1"/>
  <c r="Q182" i="1" s="1"/>
  <c r="W231" i="1"/>
  <c r="P231" i="1" s="1"/>
  <c r="Y204" i="1"/>
  <c r="Q204" i="1" s="1"/>
  <c r="AI35" i="1"/>
  <c r="O35" i="1" s="1"/>
  <c r="Y141" i="1"/>
  <c r="Q141" i="1" s="1"/>
  <c r="AG227" i="1"/>
  <c r="W219" i="1"/>
  <c r="S219" i="1" s="1"/>
  <c r="W189" i="1"/>
  <c r="W104" i="1"/>
  <c r="P69" i="1"/>
  <c r="AI59" i="1"/>
  <c r="O59" i="1" s="1"/>
  <c r="Y152" i="1"/>
  <c r="Q152" i="1" s="1"/>
  <c r="Y263" i="1"/>
  <c r="Q263" i="1" s="1"/>
  <c r="Y222" i="1"/>
  <c r="AI172" i="1"/>
  <c r="O172" i="1" s="1"/>
  <c r="W324" i="1"/>
  <c r="AI284" i="1"/>
  <c r="O284" i="1" s="1"/>
  <c r="Y202" i="1"/>
  <c r="Q202" i="1" s="1"/>
  <c r="AG183" i="1"/>
  <c r="W201" i="1"/>
  <c r="Y187" i="1"/>
  <c r="Q187" i="1" s="1"/>
  <c r="S221" i="1"/>
  <c r="W174" i="1"/>
  <c r="P174" i="1" s="1"/>
  <c r="Y162" i="1"/>
  <c r="Q162" i="1" s="1"/>
  <c r="Y146" i="1"/>
  <c r="Q146" i="1" s="1"/>
  <c r="W111" i="1"/>
  <c r="S111" i="1" s="1"/>
  <c r="W134" i="1"/>
  <c r="AG101" i="1"/>
  <c r="Y39" i="1"/>
  <c r="Q39" i="1" s="1"/>
  <c r="AC14" i="1"/>
  <c r="W306" i="1"/>
  <c r="Y291" i="1"/>
  <c r="Y82" i="1"/>
  <c r="W51" i="1"/>
  <c r="P51" i="1" s="1"/>
  <c r="W329" i="1"/>
  <c r="S329" i="1" s="1"/>
  <c r="AG329" i="1"/>
  <c r="AI309" i="1"/>
  <c r="O309" i="1" s="1"/>
  <c r="AG271" i="1"/>
  <c r="AI270" i="1"/>
  <c r="O270" i="1" s="1"/>
  <c r="AG244" i="1"/>
  <c r="N244" i="1" s="1"/>
  <c r="W237" i="1"/>
  <c r="W200" i="1"/>
  <c r="AG130" i="1"/>
  <c r="AC130" i="1" s="1"/>
  <c r="Y122" i="1"/>
  <c r="Q122" i="1" s="1"/>
  <c r="AG119" i="1"/>
  <c r="W112" i="1"/>
  <c r="AI7" i="1"/>
  <c r="O7" i="1" s="1"/>
  <c r="AI66" i="1"/>
  <c r="O66" i="1" s="1"/>
  <c r="AI137" i="1"/>
  <c r="O137" i="1" s="1"/>
  <c r="AI202" i="1"/>
  <c r="O202" i="1" s="1"/>
  <c r="W330" i="1"/>
  <c r="P330" i="1" s="1"/>
  <c r="AI227" i="1"/>
  <c r="O227" i="1" s="1"/>
  <c r="P144" i="1"/>
  <c r="S168" i="1"/>
  <c r="P168" i="1"/>
  <c r="AC104" i="1"/>
  <c r="N104" i="1"/>
  <c r="N59" i="1"/>
  <c r="AC99" i="1"/>
  <c r="N99" i="1"/>
  <c r="N66" i="1"/>
  <c r="Q22" i="1"/>
  <c r="S22" i="1"/>
  <c r="Q6" i="1"/>
  <c r="S6" i="1"/>
  <c r="AC90" i="1"/>
  <c r="N90" i="1"/>
  <c r="N341" i="1"/>
  <c r="Q330" i="1"/>
  <c r="AC291" i="1"/>
  <c r="N291" i="1"/>
  <c r="N309" i="1"/>
  <c r="P277" i="1"/>
  <c r="S277" i="1"/>
  <c r="N256" i="1"/>
  <c r="AC256" i="1"/>
  <c r="N245" i="1"/>
  <c r="AC245" i="1"/>
  <c r="AC208" i="1"/>
  <c r="N208" i="1"/>
  <c r="P195" i="1"/>
  <c r="AC194" i="1"/>
  <c r="N194" i="1"/>
  <c r="N172" i="1"/>
  <c r="P165" i="1"/>
  <c r="S165" i="1"/>
  <c r="S133" i="1"/>
  <c r="N121" i="1"/>
  <c r="AC121" i="1"/>
  <c r="S120" i="1"/>
  <c r="P120" i="1"/>
  <c r="AC102" i="1"/>
  <c r="N102" i="1"/>
  <c r="AC94" i="1"/>
  <c r="N94" i="1"/>
  <c r="S97" i="1"/>
  <c r="P97" i="1"/>
  <c r="AC105" i="1"/>
  <c r="N105" i="1"/>
  <c r="S60" i="1"/>
  <c r="P60" i="1"/>
  <c r="S140" i="1"/>
  <c r="P140" i="1"/>
  <c r="P337" i="1"/>
  <c r="P300" i="1"/>
  <c r="S259" i="1"/>
  <c r="P259" i="1"/>
  <c r="P197" i="1"/>
  <c r="S185" i="1"/>
  <c r="P185" i="1"/>
  <c r="AC165" i="1"/>
  <c r="N165" i="1"/>
  <c r="N71" i="1"/>
  <c r="N83" i="1"/>
  <c r="Q30" i="1"/>
  <c r="S30" i="1"/>
  <c r="Q331" i="1"/>
  <c r="S331" i="1"/>
  <c r="AC303" i="1"/>
  <c r="N303" i="1"/>
  <c r="AC301" i="1"/>
  <c r="N301" i="1"/>
  <c r="O289" i="1"/>
  <c r="AC289" i="1"/>
  <c r="S240" i="1"/>
  <c r="P240" i="1"/>
  <c r="Q234" i="1"/>
  <c r="S234" i="1"/>
  <c r="AC192" i="1"/>
  <c r="N192" i="1"/>
  <c r="AC182" i="1"/>
  <c r="N182" i="1"/>
  <c r="S172" i="1"/>
  <c r="P172" i="1"/>
  <c r="P153" i="1"/>
  <c r="S153" i="1"/>
  <c r="S160" i="1"/>
  <c r="P160" i="1"/>
  <c r="AC96" i="1"/>
  <c r="N96" i="1"/>
  <c r="N39" i="1"/>
  <c r="AC39" i="1"/>
  <c r="AC77" i="1"/>
  <c r="N77" i="1"/>
  <c r="N91" i="1"/>
  <c r="O285" i="1"/>
  <c r="AC285" i="1"/>
  <c r="N252" i="1"/>
  <c r="AC252" i="1"/>
  <c r="S284" i="1"/>
  <c r="P284" i="1"/>
  <c r="S220" i="1"/>
  <c r="P220" i="1"/>
  <c r="AC188" i="1"/>
  <c r="N188" i="1"/>
  <c r="AC190" i="1"/>
  <c r="N190" i="1"/>
  <c r="S189" i="1"/>
  <c r="P189" i="1"/>
  <c r="P161" i="1"/>
  <c r="S161" i="1"/>
  <c r="S173" i="1"/>
  <c r="P173" i="1"/>
  <c r="AC157" i="1"/>
  <c r="N157" i="1"/>
  <c r="AC70" i="1"/>
  <c r="N70" i="1"/>
  <c r="AC100" i="1"/>
  <c r="N100" i="1"/>
  <c r="N51" i="1"/>
  <c r="AC51" i="1"/>
  <c r="AC109" i="1"/>
  <c r="N109" i="1"/>
  <c r="AC92" i="1"/>
  <c r="N92" i="1"/>
  <c r="S164" i="1"/>
  <c r="P164" i="1"/>
  <c r="N52" i="1"/>
  <c r="AC52" i="1"/>
  <c r="O20" i="1"/>
  <c r="AC20" i="1"/>
  <c r="AC110" i="1"/>
  <c r="N110" i="1"/>
  <c r="Q26" i="1"/>
  <c r="S26" i="1"/>
  <c r="Q10" i="1"/>
  <c r="S10" i="1"/>
  <c r="S267" i="1"/>
  <c r="P267" i="1"/>
  <c r="N260" i="1"/>
  <c r="AC260" i="1"/>
  <c r="Q230" i="1"/>
  <c r="S230" i="1"/>
  <c r="AC216" i="1"/>
  <c r="N216" i="1"/>
  <c r="N174" i="1"/>
  <c r="P149" i="1"/>
  <c r="S149" i="1"/>
  <c r="AC106" i="1"/>
  <c r="N106" i="1"/>
  <c r="AC101" i="1"/>
  <c r="N101" i="1"/>
  <c r="N108" i="1"/>
  <c r="O12" i="1"/>
  <c r="N32" i="1"/>
  <c r="AC32" i="1"/>
  <c r="AC204" i="1"/>
  <c r="N204" i="1"/>
  <c r="N181" i="1"/>
  <c r="AC181" i="1"/>
  <c r="P141" i="1"/>
  <c r="AC133" i="1"/>
  <c r="N133" i="1"/>
  <c r="AC89" i="1"/>
  <c r="N89" i="1"/>
  <c r="N79" i="1"/>
  <c r="AC97" i="1"/>
  <c r="N97" i="1"/>
  <c r="O28" i="1"/>
  <c r="AC28" i="1"/>
  <c r="P281" i="1"/>
  <c r="S281" i="1"/>
  <c r="P326" i="1"/>
  <c r="P298" i="1"/>
  <c r="N283" i="1"/>
  <c r="AC283" i="1"/>
  <c r="P275" i="1"/>
  <c r="S279" i="1"/>
  <c r="P279" i="1"/>
  <c r="S263" i="1"/>
  <c r="P263" i="1"/>
  <c r="S244" i="1"/>
  <c r="P244" i="1"/>
  <c r="S236" i="1"/>
  <c r="P236" i="1"/>
  <c r="S224" i="1"/>
  <c r="P224" i="1"/>
  <c r="P198" i="1"/>
  <c r="S198" i="1"/>
  <c r="N153" i="1"/>
  <c r="AC141" i="1"/>
  <c r="N141" i="1"/>
  <c r="S124" i="1"/>
  <c r="P124" i="1"/>
  <c r="N81" i="1"/>
  <c r="N63" i="1"/>
  <c r="AC63" i="1"/>
  <c r="AC47" i="1"/>
  <c r="N177" i="1"/>
  <c r="AC177" i="1"/>
  <c r="AC67" i="1"/>
  <c r="N67" i="1"/>
  <c r="AC93" i="1"/>
  <c r="N93" i="1"/>
  <c r="P55" i="1"/>
  <c r="P91" i="1"/>
  <c r="S91" i="1"/>
  <c r="O24" i="1"/>
  <c r="AC24" i="1"/>
  <c r="O8" i="1"/>
  <c r="AC8" i="1"/>
  <c r="N306" i="1"/>
  <c r="AC306" i="1"/>
  <c r="AC287" i="1"/>
  <c r="N287" i="1"/>
  <c r="S340" i="1"/>
  <c r="P340" i="1"/>
  <c r="S248" i="1"/>
  <c r="P248" i="1"/>
  <c r="N178" i="1"/>
  <c r="P129" i="1"/>
  <c r="S129" i="1"/>
  <c r="AC145" i="1"/>
  <c r="N145" i="1"/>
  <c r="P93" i="1"/>
  <c r="S93" i="1"/>
  <c r="Q282" i="1"/>
  <c r="S282" i="1"/>
  <c r="AC279" i="1"/>
  <c r="N279" i="1"/>
  <c r="S312" i="1"/>
  <c r="P312" i="1"/>
  <c r="S336" i="1"/>
  <c r="P336" i="1"/>
  <c r="P341" i="1"/>
  <c r="S332" i="1"/>
  <c r="P332" i="1"/>
  <c r="AC295" i="1"/>
  <c r="N295" i="1"/>
  <c r="S278" i="1"/>
  <c r="P278" i="1"/>
  <c r="N233" i="1"/>
  <c r="P223" i="1"/>
  <c r="AC212" i="1"/>
  <c r="N212" i="1"/>
  <c r="AC209" i="1"/>
  <c r="N209" i="1"/>
  <c r="AC196" i="1"/>
  <c r="N196" i="1"/>
  <c r="P117" i="1"/>
  <c r="N125" i="1"/>
  <c r="AC125" i="1"/>
  <c r="N168" i="1"/>
  <c r="AC98" i="1"/>
  <c r="N98" i="1"/>
  <c r="AC107" i="1"/>
  <c r="N107" i="1"/>
  <c r="Q62" i="1"/>
  <c r="S62" i="1"/>
  <c r="AC88" i="1"/>
  <c r="N88" i="1"/>
  <c r="AC34" i="1"/>
  <c r="N34" i="1"/>
  <c r="O4" i="1"/>
  <c r="AC4" i="1"/>
  <c r="AC339" i="1"/>
  <c r="N339" i="1"/>
  <c r="AC323" i="1"/>
  <c r="N323" i="1"/>
  <c r="AC231" i="1"/>
  <c r="N231" i="1"/>
  <c r="N220" i="1"/>
  <c r="S232" i="1"/>
  <c r="P232" i="1"/>
  <c r="P212" i="1"/>
  <c r="AC191" i="1"/>
  <c r="N191" i="1"/>
  <c r="P190" i="1"/>
  <c r="S180" i="1"/>
  <c r="P180" i="1"/>
  <c r="S188" i="1"/>
  <c r="P188" i="1"/>
  <c r="P166" i="1"/>
  <c r="AC85" i="1"/>
  <c r="N85" i="1"/>
  <c r="S84" i="1"/>
  <c r="P84" i="1"/>
  <c r="S176" i="1"/>
  <c r="P176" i="1"/>
  <c r="AI91" i="1"/>
  <c r="O91" i="1" s="1"/>
  <c r="N53" i="1"/>
  <c r="Y44" i="1"/>
  <c r="Q44" i="1" s="1"/>
  <c r="AC25" i="1"/>
  <c r="N25" i="1"/>
  <c r="AG9" i="1"/>
  <c r="N61" i="1"/>
  <c r="P121" i="1"/>
  <c r="S16" i="1"/>
  <c r="P16" i="1"/>
  <c r="AC31" i="1"/>
  <c r="N31" i="1"/>
  <c r="S25" i="1"/>
  <c r="AC335" i="1"/>
  <c r="N335" i="1"/>
  <c r="AI338" i="1"/>
  <c r="O338" i="1" s="1"/>
  <c r="AG324" i="1"/>
  <c r="AG337" i="1"/>
  <c r="AC327" i="1"/>
  <c r="N327" i="1"/>
  <c r="Y341" i="1"/>
  <c r="Q341" i="1" s="1"/>
  <c r="N322" i="1"/>
  <c r="AC322" i="1"/>
  <c r="W313" i="1"/>
  <c r="N329" i="1"/>
  <c r="AC329" i="1"/>
  <c r="W333" i="1"/>
  <c r="Y333" i="1"/>
  <c r="Q333" i="1" s="1"/>
  <c r="N299" i="1"/>
  <c r="S327" i="1"/>
  <c r="S309" i="1"/>
  <c r="P309" i="1"/>
  <c r="AG300" i="1"/>
  <c r="N292" i="1"/>
  <c r="AC292" i="1"/>
  <c r="AC274" i="1"/>
  <c r="AC258" i="1"/>
  <c r="N258" i="1"/>
  <c r="AG284" i="1"/>
  <c r="Y266" i="1"/>
  <c r="P256" i="1"/>
  <c r="S256" i="1"/>
  <c r="N261" i="1"/>
  <c r="AC247" i="1"/>
  <c r="N247" i="1"/>
  <c r="AC227" i="1"/>
  <c r="N227" i="1"/>
  <c r="O272" i="1"/>
  <c r="AC272" i="1"/>
  <c r="AC228" i="1"/>
  <c r="W245" i="1"/>
  <c r="P321" i="1"/>
  <c r="AC281" i="1"/>
  <c r="AC269" i="1"/>
  <c r="N269" i="1"/>
  <c r="S250" i="1"/>
  <c r="P250" i="1"/>
  <c r="P226" i="1"/>
  <c r="S226" i="1"/>
  <c r="S207" i="1"/>
  <c r="P207" i="1"/>
  <c r="AG207" i="1"/>
  <c r="S254" i="1"/>
  <c r="S242" i="1"/>
  <c r="AC226" i="1"/>
  <c r="N226" i="1"/>
  <c r="AC187" i="1"/>
  <c r="N187" i="1"/>
  <c r="N197" i="1"/>
  <c r="Y183" i="1"/>
  <c r="AI219" i="1"/>
  <c r="O219" i="1" s="1"/>
  <c r="AC154" i="1"/>
  <c r="N154" i="1"/>
  <c r="AC138" i="1"/>
  <c r="N138" i="1"/>
  <c r="N135" i="1"/>
  <c r="AI178" i="1"/>
  <c r="O178" i="1" s="1"/>
  <c r="Y166" i="1"/>
  <c r="Q166" i="1" s="1"/>
  <c r="Y150" i="1"/>
  <c r="Q150" i="1" s="1"/>
  <c r="Y134" i="1"/>
  <c r="Q134" i="1" s="1"/>
  <c r="N164" i="1"/>
  <c r="AC164" i="1"/>
  <c r="AG132" i="1"/>
  <c r="Y143" i="1"/>
  <c r="Q143" i="1" s="1"/>
  <c r="S163" i="1"/>
  <c r="P163" i="1"/>
  <c r="N124" i="1"/>
  <c r="AC124" i="1"/>
  <c r="P135" i="1"/>
  <c r="P143" i="1"/>
  <c r="P132" i="1"/>
  <c r="AC58" i="1"/>
  <c r="N58" i="1"/>
  <c r="AG114" i="1"/>
  <c r="AI57" i="1"/>
  <c r="O57" i="1" s="1"/>
  <c r="AC68" i="1"/>
  <c r="N68" i="1"/>
  <c r="S122" i="1"/>
  <c r="P122" i="1"/>
  <c r="P53" i="1"/>
  <c r="S53" i="1"/>
  <c r="N33" i="1"/>
  <c r="AC33" i="1"/>
  <c r="AC82" i="1"/>
  <c r="AG44" i="1"/>
  <c r="AI60" i="1"/>
  <c r="O60" i="1" s="1"/>
  <c r="N41" i="1"/>
  <c r="S59" i="1"/>
  <c r="P59" i="1"/>
  <c r="S123" i="1"/>
  <c r="N64" i="1"/>
  <c r="S81" i="1"/>
  <c r="P80" i="1"/>
  <c r="S65" i="1"/>
  <c r="P7" i="1"/>
  <c r="S7" i="1"/>
  <c r="S20" i="1"/>
  <c r="P20" i="1"/>
  <c r="S98" i="1"/>
  <c r="AG23" i="1"/>
  <c r="AG15" i="1"/>
  <c r="AG7" i="1"/>
  <c r="S8" i="1"/>
  <c r="P8" i="1"/>
  <c r="AC16" i="1"/>
  <c r="P29" i="1"/>
  <c r="S29" i="1"/>
  <c r="N328" i="1"/>
  <c r="AC328" i="1"/>
  <c r="AC286" i="1"/>
  <c r="N286" i="1"/>
  <c r="S271" i="1"/>
  <c r="P271" i="1"/>
  <c r="AC239" i="1"/>
  <c r="N239" i="1"/>
  <c r="S269" i="1"/>
  <c r="P269" i="1"/>
  <c r="N307" i="1"/>
  <c r="AC307" i="1"/>
  <c r="AC265" i="1"/>
  <c r="N265" i="1"/>
  <c r="AC242" i="1"/>
  <c r="N229" i="1"/>
  <c r="AC229" i="1"/>
  <c r="S211" i="1"/>
  <c r="P211" i="1"/>
  <c r="S217" i="1"/>
  <c r="P217" i="1"/>
  <c r="S205" i="1"/>
  <c r="P205" i="1"/>
  <c r="S174" i="1"/>
  <c r="AC171" i="1"/>
  <c r="N171" i="1"/>
  <c r="AC151" i="1"/>
  <c r="N151" i="1"/>
  <c r="S128" i="1"/>
  <c r="P128" i="1"/>
  <c r="N123" i="1"/>
  <c r="AC62" i="1"/>
  <c r="S152" i="1"/>
  <c r="P152" i="1"/>
  <c r="S99" i="1"/>
  <c r="P99" i="1"/>
  <c r="AC84" i="1"/>
  <c r="N84" i="1"/>
  <c r="P37" i="1"/>
  <c r="N43" i="1"/>
  <c r="AC43" i="1"/>
  <c r="P40" i="1"/>
  <c r="N37" i="1"/>
  <c r="AC37" i="1"/>
  <c r="P19" i="1"/>
  <c r="S19" i="1"/>
  <c r="AC50" i="1"/>
  <c r="N50" i="1"/>
  <c r="AC331" i="1"/>
  <c r="N331" i="1"/>
  <c r="AG336" i="1"/>
  <c r="AG320" i="1"/>
  <c r="S320" i="1"/>
  <c r="P320" i="1"/>
  <c r="Y321" i="1"/>
  <c r="Q321" i="1" s="1"/>
  <c r="P311" i="1"/>
  <c r="S311" i="1"/>
  <c r="AC314" i="1"/>
  <c r="AI300" i="1"/>
  <c r="O300" i="1" s="1"/>
  <c r="Y299" i="1"/>
  <c r="AC282" i="1"/>
  <c r="N282" i="1"/>
  <c r="P302" i="1"/>
  <c r="S302" i="1"/>
  <c r="W296" i="1"/>
  <c r="S339" i="1"/>
  <c r="P297" i="1"/>
  <c r="S297" i="1"/>
  <c r="AG236" i="1"/>
  <c r="AC277" i="1"/>
  <c r="S203" i="1"/>
  <c r="P203" i="1"/>
  <c r="AG215" i="1"/>
  <c r="W208" i="1"/>
  <c r="AC183" i="1"/>
  <c r="N183" i="1"/>
  <c r="S213" i="1"/>
  <c r="P213" i="1"/>
  <c r="AI197" i="1"/>
  <c r="O197" i="1" s="1"/>
  <c r="W196" i="1"/>
  <c r="S181" i="1"/>
  <c r="P181" i="1"/>
  <c r="N170" i="1"/>
  <c r="AC205" i="1"/>
  <c r="N205" i="1"/>
  <c r="AC180" i="1"/>
  <c r="N180" i="1"/>
  <c r="S169" i="1"/>
  <c r="P169" i="1"/>
  <c r="AC159" i="1"/>
  <c r="N159" i="1"/>
  <c r="N152" i="1"/>
  <c r="AC152" i="1"/>
  <c r="AG169" i="1"/>
  <c r="Y127" i="1"/>
  <c r="W113" i="1"/>
  <c r="P138" i="1"/>
  <c r="P158" i="1"/>
  <c r="AI126" i="1"/>
  <c r="O126" i="1" s="1"/>
  <c r="S155" i="1"/>
  <c r="P155" i="1"/>
  <c r="Y130" i="1"/>
  <c r="Q130" i="1" s="1"/>
  <c r="AI168" i="1"/>
  <c r="O168" i="1" s="1"/>
  <c r="AI123" i="1"/>
  <c r="O123" i="1" s="1"/>
  <c r="S131" i="1"/>
  <c r="P131" i="1"/>
  <c r="S106" i="1"/>
  <c r="P106" i="1"/>
  <c r="S89" i="1"/>
  <c r="P89" i="1"/>
  <c r="P49" i="1"/>
  <c r="P112" i="1"/>
  <c r="P38" i="1"/>
  <c r="S58" i="1"/>
  <c r="P58" i="1"/>
  <c r="S50" i="1"/>
  <c r="P50" i="1"/>
  <c r="Y42" i="1"/>
  <c r="Q42" i="1" s="1"/>
  <c r="S63" i="1"/>
  <c r="AI56" i="1"/>
  <c r="AG36" i="1"/>
  <c r="P27" i="1"/>
  <c r="S27" i="1"/>
  <c r="P118" i="1"/>
  <c r="S12" i="1"/>
  <c r="P12" i="1"/>
  <c r="W56" i="1"/>
  <c r="S18" i="1"/>
  <c r="P18" i="1"/>
  <c r="P345" i="1"/>
  <c r="S345" i="1"/>
  <c r="AC275" i="1"/>
  <c r="N275" i="1"/>
  <c r="W292" i="1"/>
  <c r="N270" i="1"/>
  <c r="N255" i="1"/>
  <c r="AC255" i="1"/>
  <c r="AC298" i="1"/>
  <c r="N298" i="1"/>
  <c r="N237" i="1"/>
  <c r="AC237" i="1"/>
  <c r="AC179" i="1"/>
  <c r="N179" i="1"/>
  <c r="P186" i="1"/>
  <c r="S186" i="1"/>
  <c r="AC150" i="1"/>
  <c r="N150" i="1"/>
  <c r="N140" i="1"/>
  <c r="AC140" i="1"/>
  <c r="AC137" i="1"/>
  <c r="N137" i="1"/>
  <c r="AC122" i="1"/>
  <c r="P43" i="1"/>
  <c r="S43" i="1"/>
  <c r="AC87" i="1"/>
  <c r="N87" i="1"/>
  <c r="S344" i="1"/>
  <c r="P344" i="1"/>
  <c r="S328" i="1"/>
  <c r="P328" i="1"/>
  <c r="Y318" i="1"/>
  <c r="P307" i="1"/>
  <c r="S307" i="1"/>
  <c r="N310" i="1"/>
  <c r="AC310" i="1"/>
  <c r="AC294" i="1"/>
  <c r="N294" i="1"/>
  <c r="S288" i="1"/>
  <c r="P288" i="1"/>
  <c r="N311" i="1"/>
  <c r="AC311" i="1"/>
  <c r="W293" i="1"/>
  <c r="Y261" i="1"/>
  <c r="W272" i="1"/>
  <c r="Y262" i="1"/>
  <c r="P252" i="1"/>
  <c r="S252" i="1"/>
  <c r="AC257" i="1"/>
  <c r="N257" i="1"/>
  <c r="AC243" i="1"/>
  <c r="N243" i="1"/>
  <c r="AC235" i="1"/>
  <c r="N235" i="1"/>
  <c r="N253" i="1"/>
  <c r="AC253" i="1"/>
  <c r="S251" i="1"/>
  <c r="P251" i="1"/>
  <c r="AG321" i="1"/>
  <c r="N225" i="1"/>
  <c r="AC225" i="1"/>
  <c r="S238" i="1"/>
  <c r="AC268" i="1"/>
  <c r="AG203" i="1"/>
  <c r="Y223" i="1"/>
  <c r="Q223" i="1" s="1"/>
  <c r="W204" i="1"/>
  <c r="S201" i="1"/>
  <c r="P201" i="1"/>
  <c r="S227" i="1"/>
  <c r="AC214" i="1"/>
  <c r="N214" i="1"/>
  <c r="AC176" i="1"/>
  <c r="N176" i="1"/>
  <c r="AC189" i="1"/>
  <c r="AC167" i="1"/>
  <c r="N167" i="1"/>
  <c r="S199" i="1"/>
  <c r="P199" i="1"/>
  <c r="Y170" i="1"/>
  <c r="Q170" i="1" s="1"/>
  <c r="AG160" i="1"/>
  <c r="P125" i="1"/>
  <c r="S125" i="1"/>
  <c r="Y139" i="1"/>
  <c r="Q139" i="1" s="1"/>
  <c r="S175" i="1"/>
  <c r="P154" i="1"/>
  <c r="N120" i="1"/>
  <c r="AC120" i="1"/>
  <c r="S151" i="1"/>
  <c r="P151" i="1"/>
  <c r="P134" i="1"/>
  <c r="S77" i="1"/>
  <c r="P77" i="1"/>
  <c r="AI81" i="1"/>
  <c r="O81" i="1" s="1"/>
  <c r="S67" i="1"/>
  <c r="P67" i="1"/>
  <c r="S102" i="1"/>
  <c r="P102" i="1"/>
  <c r="S85" i="1"/>
  <c r="P85" i="1"/>
  <c r="W41" i="1"/>
  <c r="AG112" i="1"/>
  <c r="Y40" i="1"/>
  <c r="Q40" i="1" s="1"/>
  <c r="AG29" i="1"/>
  <c r="AG21" i="1"/>
  <c r="AG13" i="1"/>
  <c r="AC5" i="1"/>
  <c r="N5" i="1"/>
  <c r="P110" i="1"/>
  <c r="S110" i="1"/>
  <c r="AG118" i="1"/>
  <c r="AG3" i="1"/>
  <c r="S5" i="1"/>
  <c r="P5" i="1"/>
  <c r="P13" i="1"/>
  <c r="S13" i="1"/>
  <c r="N302" i="1"/>
  <c r="AC302" i="1"/>
  <c r="AC316" i="1"/>
  <c r="N316" i="1"/>
  <c r="N325" i="1"/>
  <c r="AC325" i="1"/>
  <c r="S294" i="1"/>
  <c r="P294" i="1"/>
  <c r="N271" i="1"/>
  <c r="AC271" i="1"/>
  <c r="AC250" i="1"/>
  <c r="N250" i="1"/>
  <c r="N206" i="1"/>
  <c r="AC134" i="1"/>
  <c r="N134" i="1"/>
  <c r="AC147" i="1"/>
  <c r="N147" i="1"/>
  <c r="AC201" i="1"/>
  <c r="N201" i="1"/>
  <c r="N117" i="1"/>
  <c r="AC117" i="1"/>
  <c r="AC119" i="1"/>
  <c r="N119" i="1"/>
  <c r="S116" i="1"/>
  <c r="P116" i="1"/>
  <c r="S119" i="1"/>
  <c r="P119" i="1"/>
  <c r="AC86" i="1"/>
  <c r="N86" i="1"/>
  <c r="AI41" i="1"/>
  <c r="O41" i="1" s="1"/>
  <c r="AC57" i="1"/>
  <c r="N57" i="1"/>
  <c r="P14" i="1"/>
  <c r="S14" i="1"/>
  <c r="AC312" i="1"/>
  <c r="N312" i="1"/>
  <c r="S322" i="1"/>
  <c r="P322" i="1"/>
  <c r="AC334" i="1"/>
  <c r="S343" i="1"/>
  <c r="AI299" i="1"/>
  <c r="O299" i="1" s="1"/>
  <c r="W289" i="1"/>
  <c r="S295" i="1"/>
  <c r="AC266" i="1"/>
  <c r="N266" i="1"/>
  <c r="S287" i="1"/>
  <c r="P287" i="1"/>
  <c r="N278" i="1"/>
  <c r="AG251" i="1"/>
  <c r="AI278" i="1"/>
  <c r="O278" i="1" s="1"/>
  <c r="P260" i="1"/>
  <c r="S260" i="1"/>
  <c r="P342" i="1"/>
  <c r="S342" i="1"/>
  <c r="S283" i="1"/>
  <c r="AG273" i="1"/>
  <c r="P237" i="1"/>
  <c r="S237" i="1"/>
  <c r="AI276" i="1"/>
  <c r="O276" i="1" s="1"/>
  <c r="S265" i="1"/>
  <c r="P265" i="1"/>
  <c r="AC224" i="1"/>
  <c r="N224" i="1"/>
  <c r="AC238" i="1"/>
  <c r="N238" i="1"/>
  <c r="AC246" i="1"/>
  <c r="N246" i="1"/>
  <c r="S235" i="1"/>
  <c r="N221" i="1"/>
  <c r="S200" i="1"/>
  <c r="P200" i="1"/>
  <c r="AC217" i="1"/>
  <c r="S209" i="1"/>
  <c r="P209" i="1"/>
  <c r="AC200" i="1"/>
  <c r="N200" i="1"/>
  <c r="P194" i="1"/>
  <c r="S194" i="1"/>
  <c r="N193" i="1"/>
  <c r="AC193" i="1"/>
  <c r="AC175" i="1"/>
  <c r="N175" i="1"/>
  <c r="AC162" i="1"/>
  <c r="N162" i="1"/>
  <c r="AC146" i="1"/>
  <c r="N146" i="1"/>
  <c r="N130" i="1"/>
  <c r="P187" i="1"/>
  <c r="AI174" i="1"/>
  <c r="O174" i="1" s="1"/>
  <c r="AC155" i="1"/>
  <c r="N155" i="1"/>
  <c r="AC143" i="1"/>
  <c r="N143" i="1"/>
  <c r="Y158" i="1"/>
  <c r="Q158" i="1" s="1"/>
  <c r="AG148" i="1"/>
  <c r="S184" i="1"/>
  <c r="P184" i="1"/>
  <c r="Y118" i="1"/>
  <c r="Q118" i="1" s="1"/>
  <c r="S148" i="1"/>
  <c r="P148" i="1"/>
  <c r="S146" i="1"/>
  <c r="P146" i="1"/>
  <c r="AC129" i="1"/>
  <c r="N129" i="1"/>
  <c r="S115" i="1"/>
  <c r="S94" i="1"/>
  <c r="P94" i="1"/>
  <c r="S76" i="1"/>
  <c r="P76" i="1"/>
  <c r="AI71" i="1"/>
  <c r="O71" i="1" s="1"/>
  <c r="AI83" i="1"/>
  <c r="O83" i="1" s="1"/>
  <c r="AC131" i="1"/>
  <c r="N131" i="1"/>
  <c r="AC73" i="1"/>
  <c r="N73" i="1"/>
  <c r="Y112" i="1"/>
  <c r="Q112" i="1" s="1"/>
  <c r="S100" i="1"/>
  <c r="P100" i="1"/>
  <c r="W61" i="1"/>
  <c r="AC69" i="1"/>
  <c r="N48" i="1"/>
  <c r="AC48" i="1"/>
  <c r="N40" i="1"/>
  <c r="AC40" i="1"/>
  <c r="AI103" i="1"/>
  <c r="O103" i="1" s="1"/>
  <c r="S54" i="1"/>
  <c r="P54" i="1"/>
  <c r="P44" i="1"/>
  <c r="P23" i="1"/>
  <c r="S23" i="1"/>
  <c r="AI64" i="1"/>
  <c r="O64" i="1" s="1"/>
  <c r="Y51" i="1"/>
  <c r="AG27" i="1"/>
  <c r="AG19" i="1"/>
  <c r="AG11" i="1"/>
  <c r="S32" i="1"/>
  <c r="N317" i="1"/>
  <c r="AC317" i="1"/>
  <c r="N318" i="1"/>
  <c r="AC318" i="1"/>
  <c r="N305" i="1"/>
  <c r="P276" i="1"/>
  <c r="S276" i="1"/>
  <c r="S280" i="1"/>
  <c r="P280" i="1"/>
  <c r="AC254" i="1"/>
  <c r="N254" i="1"/>
  <c r="N249" i="1"/>
  <c r="AC249" i="1"/>
  <c r="S228" i="1"/>
  <c r="P228" i="1"/>
  <c r="AC166" i="1"/>
  <c r="N166" i="1"/>
  <c r="S159" i="1"/>
  <c r="P159" i="1"/>
  <c r="S83" i="1"/>
  <c r="P83" i="1"/>
  <c r="S104" i="1"/>
  <c r="P104" i="1"/>
  <c r="S136" i="1"/>
  <c r="P136" i="1"/>
  <c r="P15" i="1"/>
  <c r="S15" i="1"/>
  <c r="N103" i="1"/>
  <c r="P323" i="1"/>
  <c r="S323" i="1"/>
  <c r="N333" i="1"/>
  <c r="AC333" i="1"/>
  <c r="AI345" i="1"/>
  <c r="O345" i="1" s="1"/>
  <c r="S317" i="1"/>
  <c r="P317" i="1"/>
  <c r="S335" i="1"/>
  <c r="P335" i="1"/>
  <c r="Y326" i="1"/>
  <c r="Q326" i="1" s="1"/>
  <c r="W316" i="1"/>
  <c r="P303" i="1"/>
  <c r="S303" i="1"/>
  <c r="P338" i="1"/>
  <c r="AI313" i="1"/>
  <c r="O313" i="1" s="1"/>
  <c r="W314" i="1"/>
  <c r="AC290" i="1"/>
  <c r="N290" i="1"/>
  <c r="N296" i="1"/>
  <c r="AC296" i="1"/>
  <c r="Y300" i="1"/>
  <c r="Q300" i="1" s="1"/>
  <c r="S290" i="1"/>
  <c r="P290" i="1"/>
  <c r="S286" i="1"/>
  <c r="P286" i="1"/>
  <c r="Y273" i="1"/>
  <c r="Q273" i="1" s="1"/>
  <c r="Y257" i="1"/>
  <c r="AI261" i="1"/>
  <c r="O261" i="1" s="1"/>
  <c r="Y270" i="1"/>
  <c r="AC342" i="1"/>
  <c r="N342" i="1"/>
  <c r="N264" i="1"/>
  <c r="AC264" i="1"/>
  <c r="W273" i="1"/>
  <c r="AG248" i="1"/>
  <c r="AG240" i="1"/>
  <c r="AG232" i="1"/>
  <c r="W249" i="1"/>
  <c r="AC304" i="1"/>
  <c r="N304" i="1"/>
  <c r="AC230" i="1"/>
  <c r="N230" i="1"/>
  <c r="S246" i="1"/>
  <c r="S215" i="1"/>
  <c r="P215" i="1"/>
  <c r="N219" i="1"/>
  <c r="N211" i="1"/>
  <c r="AC211" i="1"/>
  <c r="W216" i="1"/>
  <c r="S239" i="1"/>
  <c r="AC198" i="1"/>
  <c r="N198" i="1"/>
  <c r="S218" i="1"/>
  <c r="AG199" i="1"/>
  <c r="P182" i="1"/>
  <c r="S182" i="1"/>
  <c r="N173" i="1"/>
  <c r="AC173" i="1"/>
  <c r="AI170" i="1"/>
  <c r="O170" i="1" s="1"/>
  <c r="S193" i="1"/>
  <c r="P193" i="1"/>
  <c r="AI169" i="1"/>
  <c r="O169" i="1" s="1"/>
  <c r="N136" i="1"/>
  <c r="AC136" i="1"/>
  <c r="Y147" i="1"/>
  <c r="Q147" i="1" s="1"/>
  <c r="AC115" i="1"/>
  <c r="N115" i="1"/>
  <c r="S150" i="1"/>
  <c r="P150" i="1"/>
  <c r="W109" i="1"/>
  <c r="S92" i="1"/>
  <c r="P92" i="1"/>
  <c r="P130" i="1"/>
  <c r="W105" i="1"/>
  <c r="W90" i="1"/>
  <c r="S66" i="1"/>
  <c r="P66" i="1"/>
  <c r="Y132" i="1"/>
  <c r="Q132" i="1" s="1"/>
  <c r="W72" i="1"/>
  <c r="Y73" i="1"/>
  <c r="AG72" i="1"/>
  <c r="AC78" i="1"/>
  <c r="N78" i="1"/>
  <c r="N49" i="1"/>
  <c r="AC49" i="1"/>
  <c r="S96" i="1"/>
  <c r="AG60" i="1"/>
  <c r="AI53" i="1"/>
  <c r="O53" i="1" s="1"/>
  <c r="Y46" i="1"/>
  <c r="Q46" i="1" s="1"/>
  <c r="Y38" i="1"/>
  <c r="Q38" i="1" s="1"/>
  <c r="P75" i="1"/>
  <c r="S75" i="1"/>
  <c r="P46" i="1"/>
  <c r="N75" i="1"/>
  <c r="P11" i="1"/>
  <c r="S11" i="1"/>
  <c r="W34" i="1"/>
  <c r="S28" i="1"/>
  <c r="P28" i="1"/>
  <c r="S21" i="1"/>
  <c r="S36" i="1"/>
  <c r="P315" i="1"/>
  <c r="S315" i="1"/>
  <c r="S324" i="1"/>
  <c r="P324" i="1"/>
  <c r="S305" i="1"/>
  <c r="P305" i="1"/>
  <c r="S229" i="1"/>
  <c r="P229" i="1"/>
  <c r="N313" i="1"/>
  <c r="N280" i="1"/>
  <c r="AC280" i="1"/>
  <c r="AG263" i="1"/>
  <c r="S255" i="1"/>
  <c r="N223" i="1"/>
  <c r="AC223" i="1"/>
  <c r="N276" i="1"/>
  <c r="AC234" i="1"/>
  <c r="N234" i="1"/>
  <c r="AC184" i="1"/>
  <c r="N184" i="1"/>
  <c r="S191" i="1"/>
  <c r="P191" i="1"/>
  <c r="P177" i="1"/>
  <c r="S177" i="1"/>
  <c r="N128" i="1"/>
  <c r="AC128" i="1"/>
  <c r="P157" i="1"/>
  <c r="S157" i="1"/>
  <c r="AC111" i="1"/>
  <c r="P137" i="1"/>
  <c r="S137" i="1"/>
  <c r="P79" i="1"/>
  <c r="S79" i="1"/>
  <c r="S74" i="1"/>
  <c r="P74" i="1"/>
  <c r="S87" i="1"/>
  <c r="P87" i="1"/>
  <c r="P45" i="1"/>
  <c r="S45" i="1"/>
  <c r="AC42" i="1"/>
  <c r="S52" i="1"/>
  <c r="P52" i="1"/>
  <c r="P3" i="1"/>
  <c r="S3" i="1"/>
  <c r="AC149" i="1"/>
  <c r="N149" i="1"/>
  <c r="N55" i="1"/>
  <c r="AC55" i="1"/>
  <c r="AC54" i="1"/>
  <c r="N54" i="1"/>
  <c r="S2" i="1"/>
  <c r="N344" i="1"/>
  <c r="AC344" i="1"/>
  <c r="N332" i="1"/>
  <c r="AC332" i="1"/>
  <c r="N345" i="1"/>
  <c r="AC345" i="1"/>
  <c r="AC343" i="1"/>
  <c r="N343" i="1"/>
  <c r="N340" i="1"/>
  <c r="AC340" i="1"/>
  <c r="AI330" i="1"/>
  <c r="S325" i="1"/>
  <c r="P325" i="1"/>
  <c r="AC315" i="1"/>
  <c r="N315" i="1"/>
  <c r="P334" i="1"/>
  <c r="S334" i="1"/>
  <c r="N338" i="1"/>
  <c r="AC308" i="1"/>
  <c r="N308" i="1"/>
  <c r="AC326" i="1"/>
  <c r="AC319" i="1"/>
  <c r="P285" i="1"/>
  <c r="S285" i="1"/>
  <c r="AC262" i="1"/>
  <c r="N262" i="1"/>
  <c r="Y253" i="1"/>
  <c r="AG259" i="1"/>
  <c r="Y247" i="1"/>
  <c r="W233" i="1"/>
  <c r="AI221" i="1"/>
  <c r="O221" i="1" s="1"/>
  <c r="S225" i="1"/>
  <c r="P225" i="1"/>
  <c r="S258" i="1"/>
  <c r="S243" i="1"/>
  <c r="AG195" i="1"/>
  <c r="S214" i="1"/>
  <c r="P178" i="1"/>
  <c r="S178" i="1"/>
  <c r="N158" i="1"/>
  <c r="AC142" i="1"/>
  <c r="N142" i="1"/>
  <c r="N185" i="1"/>
  <c r="AC185" i="1"/>
  <c r="AC163" i="1"/>
  <c r="N163" i="1"/>
  <c r="AC139" i="1"/>
  <c r="N139" i="1"/>
  <c r="Y154" i="1"/>
  <c r="Q154" i="1" s="1"/>
  <c r="Y138" i="1"/>
  <c r="Q138" i="1" s="1"/>
  <c r="N156" i="1"/>
  <c r="AC156" i="1"/>
  <c r="P147" i="1"/>
  <c r="N126" i="1"/>
  <c r="N116" i="1"/>
  <c r="AC116" i="1"/>
  <c r="S167" i="1"/>
  <c r="P167" i="1"/>
  <c r="P142" i="1"/>
  <c r="N113" i="1"/>
  <c r="AC113" i="1"/>
  <c r="S162" i="1"/>
  <c r="P162" i="1"/>
  <c r="S139" i="1"/>
  <c r="P139" i="1"/>
  <c r="S156" i="1"/>
  <c r="P156" i="1"/>
  <c r="S107" i="1"/>
  <c r="P107" i="1"/>
  <c r="P126" i="1"/>
  <c r="P103" i="1"/>
  <c r="S103" i="1"/>
  <c r="P88" i="1"/>
  <c r="S88" i="1"/>
  <c r="W78" i="1"/>
  <c r="Y126" i="1"/>
  <c r="Q126" i="1" s="1"/>
  <c r="S114" i="1"/>
  <c r="P114" i="1"/>
  <c r="S101" i="1"/>
  <c r="P101" i="1"/>
  <c r="S86" i="1"/>
  <c r="P86" i="1"/>
  <c r="S68" i="1"/>
  <c r="P68" i="1"/>
  <c r="S95" i="1"/>
  <c r="P95" i="1"/>
  <c r="AI61" i="1"/>
  <c r="O61" i="1" s="1"/>
  <c r="Y117" i="1"/>
  <c r="Q117" i="1" s="1"/>
  <c r="S71" i="1"/>
  <c r="P71" i="1"/>
  <c r="Y121" i="1"/>
  <c r="Q121" i="1" s="1"/>
  <c r="AI108" i="1"/>
  <c r="O108" i="1" s="1"/>
  <c r="P47" i="1"/>
  <c r="S47" i="1"/>
  <c r="P39" i="1"/>
  <c r="AG46" i="1"/>
  <c r="AG38" i="1"/>
  <c r="N45" i="1"/>
  <c r="AI45" i="1"/>
  <c r="O45" i="1" s="1"/>
  <c r="P64" i="1"/>
  <c r="S42" i="1"/>
  <c r="P42" i="1"/>
  <c r="AC74" i="1"/>
  <c r="W31" i="1"/>
  <c r="Y80" i="1"/>
  <c r="Q80" i="1" s="1"/>
  <c r="Y64" i="1"/>
  <c r="Q64" i="1" s="1"/>
  <c r="Y33" i="1"/>
  <c r="S24" i="1"/>
  <c r="P24" i="1"/>
  <c r="P17" i="1"/>
  <c r="S17" i="1"/>
  <c r="AC126" i="1" l="1"/>
  <c r="N297" i="1"/>
  <c r="AC218" i="1"/>
  <c r="P48" i="1"/>
  <c r="AC35" i="1"/>
  <c r="N95" i="1"/>
  <c r="AC153" i="1"/>
  <c r="S145" i="1"/>
  <c r="S310" i="1"/>
  <c r="P308" i="1"/>
  <c r="S338" i="1"/>
  <c r="S241" i="1"/>
  <c r="AC127" i="1"/>
  <c r="S298" i="1"/>
  <c r="S108" i="1"/>
  <c r="AC305" i="1"/>
  <c r="S49" i="1"/>
  <c r="AC135" i="1"/>
  <c r="AC80" i="1"/>
  <c r="S4" i="1"/>
  <c r="S171" i="1"/>
  <c r="S210" i="1"/>
  <c r="AC293" i="1"/>
  <c r="S190" i="1"/>
  <c r="N186" i="1"/>
  <c r="N161" i="1"/>
  <c r="S142" i="1"/>
  <c r="S37" i="1"/>
  <c r="AC220" i="1"/>
  <c r="AC233" i="1"/>
  <c r="S197" i="1"/>
  <c r="S195" i="1"/>
  <c r="P319" i="1"/>
  <c r="S319" i="1"/>
  <c r="S39" i="1"/>
  <c r="AC267" i="1"/>
  <c r="N80" i="1"/>
  <c r="N17" i="1"/>
  <c r="S57" i="1"/>
  <c r="P219" i="1"/>
  <c r="S264" i="1"/>
  <c r="S9" i="1"/>
  <c r="AC241" i="1"/>
  <c r="O65" i="1"/>
  <c r="AC65" i="1"/>
  <c r="AC206" i="1"/>
  <c r="AC270" i="1"/>
  <c r="P4" i="1"/>
  <c r="S70" i="1"/>
  <c r="S55" i="1"/>
  <c r="S130" i="1"/>
  <c r="N222" i="1"/>
  <c r="P329" i="1"/>
  <c r="AC276" i="1"/>
  <c r="AC288" i="1"/>
  <c r="S141" i="1"/>
  <c r="AC12" i="1"/>
  <c r="AC172" i="1"/>
  <c r="S330" i="1"/>
  <c r="S187" i="1"/>
  <c r="P304" i="1"/>
  <c r="AC144" i="1"/>
  <c r="AC213" i="1"/>
  <c r="AC309" i="1"/>
  <c r="AC59" i="1"/>
  <c r="S46" i="1"/>
  <c r="AC178" i="1"/>
  <c r="AC66" i="1"/>
  <c r="P35" i="1"/>
  <c r="S35" i="1"/>
  <c r="S126" i="1"/>
  <c r="N22" i="1"/>
  <c r="AC22" i="1"/>
  <c r="AC244" i="1"/>
  <c r="P306" i="1"/>
  <c r="S306" i="1"/>
  <c r="S121" i="1"/>
  <c r="S326" i="1"/>
  <c r="AC79" i="1"/>
  <c r="AC174" i="1"/>
  <c r="S144" i="1"/>
  <c r="S268" i="1"/>
  <c r="AC75" i="1"/>
  <c r="AC278" i="1"/>
  <c r="S158" i="1"/>
  <c r="S170" i="1"/>
  <c r="S135" i="1"/>
  <c r="AC202" i="1"/>
  <c r="AC221" i="1"/>
  <c r="S179" i="1"/>
  <c r="S231" i="1"/>
  <c r="P111" i="1"/>
  <c r="AC71" i="1"/>
  <c r="S337" i="1"/>
  <c r="Q222" i="1"/>
  <c r="S222" i="1"/>
  <c r="Q291" i="1"/>
  <c r="S291" i="1"/>
  <c r="P301" i="1"/>
  <c r="P202" i="1"/>
  <c r="S202" i="1"/>
  <c r="AC219" i="1"/>
  <c r="AC103" i="1"/>
  <c r="S44" i="1"/>
  <c r="S132" i="1"/>
  <c r="AC341" i="1"/>
  <c r="Q82" i="1"/>
  <c r="S82" i="1"/>
  <c r="AC18" i="1"/>
  <c r="N18" i="1"/>
  <c r="N259" i="1"/>
  <c r="AC259" i="1"/>
  <c r="N3" i="1"/>
  <c r="AC3" i="1"/>
  <c r="Q247" i="1"/>
  <c r="S247" i="1"/>
  <c r="AC338" i="1"/>
  <c r="S34" i="1"/>
  <c r="P34" i="1"/>
  <c r="P90" i="1"/>
  <c r="S90" i="1"/>
  <c r="Q270" i="1"/>
  <c r="S270" i="1"/>
  <c r="N148" i="1"/>
  <c r="AC148" i="1"/>
  <c r="P41" i="1"/>
  <c r="S41" i="1"/>
  <c r="P272" i="1"/>
  <c r="S272" i="1"/>
  <c r="N7" i="1"/>
  <c r="AC7" i="1"/>
  <c r="N132" i="1"/>
  <c r="AC132" i="1"/>
  <c r="S64" i="1"/>
  <c r="AC195" i="1"/>
  <c r="N195" i="1"/>
  <c r="P105" i="1"/>
  <c r="S105" i="1"/>
  <c r="N240" i="1"/>
  <c r="AC240" i="1"/>
  <c r="N27" i="1"/>
  <c r="AC27" i="1"/>
  <c r="N251" i="1"/>
  <c r="AC251" i="1"/>
  <c r="P289" i="1"/>
  <c r="S289" i="1"/>
  <c r="N160" i="1"/>
  <c r="AC160" i="1"/>
  <c r="Q261" i="1"/>
  <c r="S261" i="1"/>
  <c r="S118" i="1"/>
  <c r="AC170" i="1"/>
  <c r="S40" i="1"/>
  <c r="N15" i="1"/>
  <c r="AC15" i="1"/>
  <c r="S80" i="1"/>
  <c r="AC41" i="1"/>
  <c r="N284" i="1"/>
  <c r="AC284" i="1"/>
  <c r="AC300" i="1"/>
  <c r="N300" i="1"/>
  <c r="N337" i="1"/>
  <c r="AC337" i="1"/>
  <c r="AC81" i="1"/>
  <c r="P216" i="1"/>
  <c r="S216" i="1"/>
  <c r="P273" i="1"/>
  <c r="S273" i="1"/>
  <c r="S316" i="1"/>
  <c r="P316" i="1"/>
  <c r="AC13" i="1"/>
  <c r="N13" i="1"/>
  <c r="P113" i="1"/>
  <c r="S113" i="1"/>
  <c r="N215" i="1"/>
  <c r="AC215" i="1"/>
  <c r="S313" i="1"/>
  <c r="P313" i="1"/>
  <c r="AC53" i="1"/>
  <c r="N232" i="1"/>
  <c r="AC232" i="1"/>
  <c r="N19" i="1"/>
  <c r="AC19" i="1"/>
  <c r="P61" i="1"/>
  <c r="S61" i="1"/>
  <c r="P204" i="1"/>
  <c r="S204" i="1"/>
  <c r="Q266" i="1"/>
  <c r="S266" i="1"/>
  <c r="P333" i="1"/>
  <c r="S333" i="1"/>
  <c r="Q33" i="1"/>
  <c r="S33" i="1"/>
  <c r="AC313" i="1"/>
  <c r="AC72" i="1"/>
  <c r="N72" i="1"/>
  <c r="N248" i="1"/>
  <c r="AC248" i="1"/>
  <c r="Q257" i="1"/>
  <c r="S257" i="1"/>
  <c r="Q51" i="1"/>
  <c r="S51" i="1"/>
  <c r="N273" i="1"/>
  <c r="AC273" i="1"/>
  <c r="N203" i="1"/>
  <c r="AC203" i="1"/>
  <c r="AC321" i="1"/>
  <c r="N321" i="1"/>
  <c r="P293" i="1"/>
  <c r="S293" i="1"/>
  <c r="S138" i="1"/>
  <c r="P208" i="1"/>
  <c r="S208" i="1"/>
  <c r="N23" i="1"/>
  <c r="AC23" i="1"/>
  <c r="S321" i="1"/>
  <c r="AC324" i="1"/>
  <c r="N324" i="1"/>
  <c r="S117" i="1"/>
  <c r="AC45" i="1"/>
  <c r="N60" i="1"/>
  <c r="AC60" i="1"/>
  <c r="Q299" i="1"/>
  <c r="S299" i="1"/>
  <c r="P31" i="1"/>
  <c r="S31" i="1"/>
  <c r="S78" i="1"/>
  <c r="P78" i="1"/>
  <c r="S314" i="1"/>
  <c r="P314" i="1"/>
  <c r="AC29" i="1"/>
  <c r="N29" i="1"/>
  <c r="S56" i="1"/>
  <c r="P56" i="1"/>
  <c r="O56" i="1"/>
  <c r="AC56" i="1"/>
  <c r="S38" i="1"/>
  <c r="N169" i="1"/>
  <c r="AC169" i="1"/>
  <c r="AC123" i="1"/>
  <c r="AC64" i="1"/>
  <c r="S143" i="1"/>
  <c r="AC261" i="1"/>
  <c r="S166" i="1"/>
  <c r="S223" i="1"/>
  <c r="AC108" i="1"/>
  <c r="AC91" i="1"/>
  <c r="S300" i="1"/>
  <c r="Q73" i="1"/>
  <c r="S73" i="1"/>
  <c r="S72" i="1"/>
  <c r="P72" i="1"/>
  <c r="N118" i="1"/>
  <c r="AC118" i="1"/>
  <c r="S292" i="1"/>
  <c r="P292" i="1"/>
  <c r="P196" i="1"/>
  <c r="S196" i="1"/>
  <c r="N44" i="1"/>
  <c r="AC44" i="1"/>
  <c r="AC38" i="1"/>
  <c r="N38" i="1"/>
  <c r="Q253" i="1"/>
  <c r="S253" i="1"/>
  <c r="S109" i="1"/>
  <c r="P109" i="1"/>
  <c r="N199" i="1"/>
  <c r="AC199" i="1"/>
  <c r="AC320" i="1"/>
  <c r="N320" i="1"/>
  <c r="Q183" i="1"/>
  <c r="S183" i="1"/>
  <c r="AC299" i="1"/>
  <c r="AC61" i="1"/>
  <c r="S341" i="1"/>
  <c r="AC83" i="1"/>
  <c r="P245" i="1"/>
  <c r="S245" i="1"/>
  <c r="AC21" i="1"/>
  <c r="N21" i="1"/>
  <c r="S134" i="1"/>
  <c r="S154" i="1"/>
  <c r="N36" i="1"/>
  <c r="AC36" i="1"/>
  <c r="Q127" i="1"/>
  <c r="S127" i="1"/>
  <c r="AC46" i="1"/>
  <c r="N46" i="1"/>
  <c r="S147" i="1"/>
  <c r="P233" i="1"/>
  <c r="S233" i="1"/>
  <c r="O330" i="1"/>
  <c r="AC330" i="1"/>
  <c r="N263" i="1"/>
  <c r="AC263" i="1"/>
  <c r="P249" i="1"/>
  <c r="S249" i="1"/>
  <c r="N11" i="1"/>
  <c r="AC11" i="1"/>
  <c r="N112" i="1"/>
  <c r="AC112" i="1"/>
  <c r="Q262" i="1"/>
  <c r="S262" i="1"/>
  <c r="Q318" i="1"/>
  <c r="S318" i="1"/>
  <c r="S112" i="1"/>
  <c r="N236" i="1"/>
  <c r="AC236" i="1"/>
  <c r="S296" i="1"/>
  <c r="P296" i="1"/>
  <c r="N336" i="1"/>
  <c r="AC336" i="1"/>
  <c r="N114" i="1"/>
  <c r="AC114" i="1"/>
  <c r="AC197" i="1"/>
  <c r="N207" i="1"/>
  <c r="AC207" i="1"/>
  <c r="AC9" i="1"/>
  <c r="N9" i="1"/>
  <c r="AC168" i="1"/>
</calcChain>
</file>

<file path=xl/sharedStrings.xml><?xml version="1.0" encoding="utf-8"?>
<sst xmlns="http://schemas.openxmlformats.org/spreadsheetml/2006/main" count="7071" uniqueCount="394">
  <si>
    <t>NSE Code</t>
  </si>
  <si>
    <t>CMP</t>
  </si>
  <si>
    <t>Open
Price</t>
  </si>
  <si>
    <t xml:space="preserve">High
Price </t>
  </si>
  <si>
    <t>Low
Price</t>
  </si>
  <si>
    <t>Preivious
Close</t>
  </si>
  <si>
    <t>Price
change</t>
  </si>
  <si>
    <t>Stock
Volume</t>
  </si>
  <si>
    <t>20 day AVG
Volume</t>
  </si>
  <si>
    <t>Volume
change</t>
  </si>
  <si>
    <t>5 days SMA</t>
  </si>
  <si>
    <t>13 days SMA</t>
  </si>
  <si>
    <t>21 days SMA</t>
  </si>
  <si>
    <t>Action_1</t>
  </si>
  <si>
    <t>Action_2</t>
  </si>
  <si>
    <t>Action</t>
  </si>
  <si>
    <t>x</t>
  </si>
  <si>
    <t>xx</t>
  </si>
  <si>
    <t>AARTIPHARM</t>
  </si>
  <si>
    <t>AAVAS</t>
  </si>
  <si>
    <t>ACC</t>
  </si>
  <si>
    <t>ADANIPORTS</t>
  </si>
  <si>
    <t>ADANIPOWER</t>
  </si>
  <si>
    <t>ADFFOODS</t>
  </si>
  <si>
    <t>ABSLAMC</t>
  </si>
  <si>
    <t>ABFRL</t>
  </si>
  <si>
    <t>ABCAPITAL</t>
  </si>
  <si>
    <t>ADVENZYMES</t>
  </si>
  <si>
    <t>AFFLE</t>
  </si>
  <si>
    <t>AGI</t>
  </si>
  <si>
    <t>AIAENG</t>
  </si>
  <si>
    <t>AJANTPHARM</t>
  </si>
  <si>
    <t>AJMERA</t>
  </si>
  <si>
    <t>AKZOINDIA</t>
  </si>
  <si>
    <t>ALEMBICLTD</t>
  </si>
  <si>
    <t>ALKEM</t>
  </si>
  <si>
    <t>ARE&amp;M</t>
  </si>
  <si>
    <t>AMBUJACEM</t>
  </si>
  <si>
    <t>AWHCL</t>
  </si>
  <si>
    <t>APOLLOHOSP</t>
  </si>
  <si>
    <t>APOLLOTYRE</t>
  </si>
  <si>
    <t>APTECHT</t>
  </si>
  <si>
    <t>APTUS</t>
  </si>
  <si>
    <t>ACI</t>
  </si>
  <si>
    <t>ARMANFIN</t>
  </si>
  <si>
    <t>ASAHIINDIA</t>
  </si>
  <si>
    <t>ASIANPAINT</t>
  </si>
  <si>
    <t>ASTRAMICRO</t>
  </si>
  <si>
    <t>ASTRAL</t>
  </si>
  <si>
    <t>AUROPHARMA</t>
  </si>
  <si>
    <t>AIIL</t>
  </si>
  <si>
    <t>AVTNPL</t>
  </si>
  <si>
    <t>AXISBANK</t>
  </si>
  <si>
    <t>BAJAJ-AUTO</t>
  </si>
  <si>
    <t>BAJAJCON</t>
  </si>
  <si>
    <t>BAJFINANCE</t>
  </si>
  <si>
    <t>BAJAJFINSV</t>
  </si>
  <si>
    <t>BAJAJHLDNG</t>
  </si>
  <si>
    <t>BALAMINES</t>
  </si>
  <si>
    <t>BALKRISIND</t>
  </si>
  <si>
    <t>BALRAMCHIN</t>
  </si>
  <si>
    <t>BALUFORGE</t>
  </si>
  <si>
    <t>BANKBARODA</t>
  </si>
  <si>
    <t>MAHABANK</t>
  </si>
  <si>
    <t>BATAINDIA</t>
  </si>
  <si>
    <t>BAYERCROP</t>
  </si>
  <si>
    <t>BERGEPAINT</t>
  </si>
  <si>
    <t>BEPL</t>
  </si>
  <si>
    <t>BHARATFORG</t>
  </si>
  <si>
    <t>BHARATRAS</t>
  </si>
  <si>
    <t>BHARATWIRE</t>
  </si>
  <si>
    <t>BHARTIARTL</t>
  </si>
  <si>
    <t>BLS</t>
  </si>
  <si>
    <t>BLUEDART</t>
  </si>
  <si>
    <t>BLUESTARCO</t>
  </si>
  <si>
    <t>BBTC</t>
  </si>
  <si>
    <t>BOROLTD</t>
  </si>
  <si>
    <t>BRITANNIA</t>
  </si>
  <si>
    <t>CAMS</t>
  </si>
  <si>
    <t>CAPLIPOINT</t>
  </si>
  <si>
    <t>CARBORUNIV</t>
  </si>
  <si>
    <t>CARERATING</t>
  </si>
  <si>
    <t>CARYSIL</t>
  </si>
  <si>
    <t>CCL</t>
  </si>
  <si>
    <t>CEATLTD</t>
  </si>
  <si>
    <t>CENTURYPLY</t>
  </si>
  <si>
    <t>CERA</t>
  </si>
  <si>
    <t>CHAMBLFERT</t>
  </si>
  <si>
    <t>CHOLAHLDNG</t>
  </si>
  <si>
    <t>CHOLAFIN</t>
  </si>
  <si>
    <t>CIEINDIA</t>
  </si>
  <si>
    <t>CIPLA</t>
  </si>
  <si>
    <t>CMSINFO</t>
  </si>
  <si>
    <t>COALINDIA</t>
  </si>
  <si>
    <t>COCHINSHIP</t>
  </si>
  <si>
    <t>COLPAL</t>
  </si>
  <si>
    <t>CONTROLPR</t>
  </si>
  <si>
    <t>COROMANDEL</t>
  </si>
  <si>
    <t>CREDITACC</t>
  </si>
  <si>
    <t>CROMPTON</t>
  </si>
  <si>
    <t>CUMMINSIND</t>
  </si>
  <si>
    <t>DBCORP</t>
  </si>
  <si>
    <t>DABUR</t>
  </si>
  <si>
    <t>DEEPAKNTR</t>
  </si>
  <si>
    <t>DELTACORP</t>
  </si>
  <si>
    <t>DHANUKA</t>
  </si>
  <si>
    <t>DIVISLAB</t>
  </si>
  <si>
    <t>DIXON</t>
  </si>
  <si>
    <t>LALPATHLAB</t>
  </si>
  <si>
    <t>DRREDDY</t>
  </si>
  <si>
    <t>DREAMFOLKS</t>
  </si>
  <si>
    <t>ECLERX</t>
  </si>
  <si>
    <t>EICHERMOT</t>
  </si>
  <si>
    <t>EIDPARRY</t>
  </si>
  <si>
    <t>EIHOTEL</t>
  </si>
  <si>
    <t>ELECON</t>
  </si>
  <si>
    <t>ELECTCAST</t>
  </si>
  <si>
    <t>EMAMILTD</t>
  </si>
  <si>
    <t>EPIGRAL</t>
  </si>
  <si>
    <t>ERIS</t>
  </si>
  <si>
    <t>ESCORTS</t>
  </si>
  <si>
    <t>EKC</t>
  </si>
  <si>
    <t>FAZE3Q</t>
  </si>
  <si>
    <t>FDC</t>
  </si>
  <si>
    <t>FEDERALBNK</t>
  </si>
  <si>
    <t>FINEORG</t>
  </si>
  <si>
    <t>FCL</t>
  </si>
  <si>
    <t>FINCABLES</t>
  </si>
  <si>
    <t>FSL</t>
  </si>
  <si>
    <t>GNFC</t>
  </si>
  <si>
    <t>GRINFRA</t>
  </si>
  <si>
    <t>GSFC</t>
  </si>
  <si>
    <t>GALAXYSURF</t>
  </si>
  <si>
    <t>GANESHBE</t>
  </si>
  <si>
    <t>GANESHHOUC</t>
  </si>
  <si>
    <t>GARFIBRES</t>
  </si>
  <si>
    <t>GATEWAY</t>
  </si>
  <si>
    <t>GESHIP</t>
  </si>
  <si>
    <t>GHCL</t>
  </si>
  <si>
    <t>GLAND</t>
  </si>
  <si>
    <t>GLAXO</t>
  </si>
  <si>
    <t>MEDANTA</t>
  </si>
  <si>
    <t>GMMPFAUDLR</t>
  </si>
  <si>
    <t>GPIL</t>
  </si>
  <si>
    <t>GODFRYPHLP</t>
  </si>
  <si>
    <t>GOLDIAM</t>
  </si>
  <si>
    <t>GRANULES</t>
  </si>
  <si>
    <t>GRAUWEIL</t>
  </si>
  <si>
    <t>GREENLAM</t>
  </si>
  <si>
    <t>GREENPANEL</t>
  </si>
  <si>
    <t>GPPL</t>
  </si>
  <si>
    <t>GSPL</t>
  </si>
  <si>
    <t>GUJGASLTD</t>
  </si>
  <si>
    <t>GULFOILLUB</t>
  </si>
  <si>
    <t>HUDCO</t>
  </si>
  <si>
    <t>HGINFRA</t>
  </si>
  <si>
    <t>HDFCAMC</t>
  </si>
  <si>
    <t>HDFCBANK</t>
  </si>
  <si>
    <t>HEROMOTOCO</t>
  </si>
  <si>
    <t>HINDUNILVR</t>
  </si>
  <si>
    <t>HAL</t>
  </si>
  <si>
    <t>HINDOILEXP</t>
  </si>
  <si>
    <t>HINDALCO</t>
  </si>
  <si>
    <t>HLEGLAS</t>
  </si>
  <si>
    <t>ICICIBANK</t>
  </si>
  <si>
    <t>IIFLSEC</t>
  </si>
  <si>
    <t>INDIAMART</t>
  </si>
  <si>
    <t>INDIANB</t>
  </si>
  <si>
    <t>INDHOTEL</t>
  </si>
  <si>
    <t>IMFA</t>
  </si>
  <si>
    <t>ICIL</t>
  </si>
  <si>
    <t>IGL</t>
  </si>
  <si>
    <t>INDUSTOWER</t>
  </si>
  <si>
    <t>IOLCP</t>
  </si>
  <si>
    <t>IONEXCHANG</t>
  </si>
  <si>
    <t>ITC</t>
  </si>
  <si>
    <t>JBCHEPHARM</t>
  </si>
  <si>
    <t>JKCEMENT</t>
  </si>
  <si>
    <t>JKIL</t>
  </si>
  <si>
    <t>JINDALSAW</t>
  </si>
  <si>
    <t>JSL</t>
  </si>
  <si>
    <t>JINDALSTEL</t>
  </si>
  <si>
    <t>JKLAKSHMI</t>
  </si>
  <si>
    <t>JKPAPER</t>
  </si>
  <si>
    <t>JKTYRE</t>
  </si>
  <si>
    <t>JSWSTEEL</t>
  </si>
  <si>
    <t>JWL</t>
  </si>
  <si>
    <t>JYOTHYLAB</t>
  </si>
  <si>
    <t>KCP</t>
  </si>
  <si>
    <t>KPRMILL</t>
  </si>
  <si>
    <t>KAJARIACER</t>
  </si>
  <si>
    <t>KSL</t>
  </si>
  <si>
    <t>KANSAINER</t>
  </si>
  <si>
    <t>KSCL</t>
  </si>
  <si>
    <t>KAYNES</t>
  </si>
  <si>
    <t>KDDL</t>
  </si>
  <si>
    <t>KEI</t>
  </si>
  <si>
    <t>KENNAMET</t>
  </si>
  <si>
    <t>KKCL</t>
  </si>
  <si>
    <t>KFINTECH</t>
  </si>
  <si>
    <t>KIRIINDUS</t>
  </si>
  <si>
    <t>KIRLFER</t>
  </si>
  <si>
    <t>KIRLPNU</t>
  </si>
  <si>
    <t>KMEW</t>
  </si>
  <si>
    <t>KNRCON</t>
  </si>
  <si>
    <t>KOTAKBANK</t>
  </si>
  <si>
    <t>KOVAI</t>
  </si>
  <si>
    <t>KRBL</t>
  </si>
  <si>
    <t>KIMS</t>
  </si>
  <si>
    <t>KSB</t>
  </si>
  <si>
    <t>LTFOODS</t>
  </si>
  <si>
    <t>LTF</t>
  </si>
  <si>
    <t>LT</t>
  </si>
  <si>
    <t>LATENTVIEW</t>
  </si>
  <si>
    <t>LEMONTREE</t>
  </si>
  <si>
    <t>LICHSGFIN</t>
  </si>
  <si>
    <t>LIKHITHA</t>
  </si>
  <si>
    <t>LINCOLN</t>
  </si>
  <si>
    <t>LUPIN</t>
  </si>
  <si>
    <t>M&amp;M</t>
  </si>
  <si>
    <t>MMFL</t>
  </si>
  <si>
    <t>MAHSEAMLES</t>
  </si>
  <si>
    <t>MAITHANALL</t>
  </si>
  <si>
    <t>MANINFRA</t>
  </si>
  <si>
    <t>MANAPPURAM</t>
  </si>
  <si>
    <t>MARATHON</t>
  </si>
  <si>
    <t>MARICO</t>
  </si>
  <si>
    <t>MATRIMONY</t>
  </si>
  <si>
    <t>MAXHEALTH</t>
  </si>
  <si>
    <t>MAYURUNIQ</t>
  </si>
  <si>
    <t>METROBRAND</t>
  </si>
  <si>
    <t>METROPOLIS</t>
  </si>
  <si>
    <t>MOIL</t>
  </si>
  <si>
    <t>MOLDTECH</t>
  </si>
  <si>
    <t>MPSLTD</t>
  </si>
  <si>
    <t>MRF</t>
  </si>
  <si>
    <t>MSTCLTD</t>
  </si>
  <si>
    <t>MUTHOOTFIN</t>
  </si>
  <si>
    <t>NH</t>
  </si>
  <si>
    <t>NATCOPHARM</t>
  </si>
  <si>
    <t>NATIONALUM</t>
  </si>
  <si>
    <t>NAVA</t>
  </si>
  <si>
    <t>NAVNETEDUL</t>
  </si>
  <si>
    <t>NCC</t>
  </si>
  <si>
    <t>NELCO</t>
  </si>
  <si>
    <t>NESCO</t>
  </si>
  <si>
    <t>NEULANDLAB</t>
  </si>
  <si>
    <t>NGLFINE</t>
  </si>
  <si>
    <t>NHPC</t>
  </si>
  <si>
    <t>NAM-INDIA</t>
  </si>
  <si>
    <t>NMDC</t>
  </si>
  <si>
    <t>NRBBEARING</t>
  </si>
  <si>
    <t>NTPC</t>
  </si>
  <si>
    <t>ONGC</t>
  </si>
  <si>
    <t>OBEROIRLTY</t>
  </si>
  <si>
    <t>OIL</t>
  </si>
  <si>
    <t>PIIND</t>
  </si>
  <si>
    <t>PAISALO</t>
  </si>
  <si>
    <t>PANAMAPET</t>
  </si>
  <si>
    <t>PETRONET</t>
  </si>
  <si>
    <t>PFIZER</t>
  </si>
  <si>
    <t>PGEL</t>
  </si>
  <si>
    <t>PHOENIXLTD</t>
  </si>
  <si>
    <t>PIXTRANS</t>
  </si>
  <si>
    <t>PNBHOUSING</t>
  </si>
  <si>
    <t>POKARNA</t>
  </si>
  <si>
    <t>POLYMED</t>
  </si>
  <si>
    <t>POLYCAB</t>
  </si>
  <si>
    <t>POWERGRID</t>
  </si>
  <si>
    <t>PGINVIT</t>
  </si>
  <si>
    <t>PRAKASH</t>
  </si>
  <si>
    <t>PSPPROJECT</t>
  </si>
  <si>
    <t>PUNJABCHEM</t>
  </si>
  <si>
    <t>RPEL</t>
  </si>
  <si>
    <t>RAILTEL</t>
  </si>
  <si>
    <t>RAINBOW</t>
  </si>
  <si>
    <t>RKFORGE</t>
  </si>
  <si>
    <t>RAMKY</t>
  </si>
  <si>
    <t>RATNAMANI</t>
  </si>
  <si>
    <t>RELIANCE</t>
  </si>
  <si>
    <t>REPCOHOME</t>
  </si>
  <si>
    <t>RESPONIND</t>
  </si>
  <si>
    <t>RITES</t>
  </si>
  <si>
    <t>ROSSARI</t>
  </si>
  <si>
    <t>ROTO</t>
  </si>
  <si>
    <t>ROHLTD</t>
  </si>
  <si>
    <t>SCI</t>
  </si>
  <si>
    <t>SPAL</t>
  </si>
  <si>
    <t>SAFARI</t>
  </si>
  <si>
    <t>SAMMAANCAP</t>
  </si>
  <si>
    <t>SANDUMA</t>
  </si>
  <si>
    <t>SANGHVIMOV</t>
  </si>
  <si>
    <t>SANOFI</t>
  </si>
  <si>
    <t>SARDAEN</t>
  </si>
  <si>
    <t>SATINDLTD</t>
  </si>
  <si>
    <t>SEAMECLTD</t>
  </si>
  <si>
    <t>SESHAPAPER</t>
  </si>
  <si>
    <t>SHREDIGCEM</t>
  </si>
  <si>
    <t>SBCL</t>
  </si>
  <si>
    <t>SHREECEM</t>
  </si>
  <si>
    <t>SHRIRAMFIN</t>
  </si>
  <si>
    <t>SHYAMMETL</t>
  </si>
  <si>
    <t>SIGACHI</t>
  </si>
  <si>
    <t>SIRCA</t>
  </si>
  <si>
    <t>SIYSIL</t>
  </si>
  <si>
    <t>SKFINDIA</t>
  </si>
  <si>
    <t>SOMANYCERA</t>
  </si>
  <si>
    <t>SRF</t>
  </si>
  <si>
    <t>SBIN</t>
  </si>
  <si>
    <t>STARCEMENT</t>
  </si>
  <si>
    <t>STERTOOLS</t>
  </si>
  <si>
    <t>STYLAMIND</t>
  </si>
  <si>
    <t>STYRENIX</t>
  </si>
  <si>
    <t>SUDARSCHEM</t>
  </si>
  <si>
    <t>SULA</t>
  </si>
  <si>
    <t>SUMICHEM</t>
  </si>
  <si>
    <t>SUNPHARMA</t>
  </si>
  <si>
    <t>SUNTV</t>
  </si>
  <si>
    <t>SUNDARMFIN</t>
  </si>
  <si>
    <t>SUNDRMFAST</t>
  </si>
  <si>
    <t>SUPREMEIND</t>
  </si>
  <si>
    <t>SYMPHONY</t>
  </si>
  <si>
    <t>SYNGENE</t>
  </si>
  <si>
    <t>TAJGVK</t>
  </si>
  <si>
    <t>TARSONS</t>
  </si>
  <si>
    <t>TATASTEEL</t>
  </si>
  <si>
    <t>TCIEXP</t>
  </si>
  <si>
    <t>TCPLPACK</t>
  </si>
  <si>
    <t>TDPOWERSYS</t>
  </si>
  <si>
    <t>TECHNOE</t>
  </si>
  <si>
    <t>TIIL</t>
  </si>
  <si>
    <t>TEGA</t>
  </si>
  <si>
    <t>THEMISMED</t>
  </si>
  <si>
    <t>THYROCARE</t>
  </si>
  <si>
    <t>TI</t>
  </si>
  <si>
    <t>TIMETECHNO</t>
  </si>
  <si>
    <t>TORNTPHARM</t>
  </si>
  <si>
    <t>TORNTPOWER</t>
  </si>
  <si>
    <t>TRIVENI</t>
  </si>
  <si>
    <t>TTKPRESTIG</t>
  </si>
  <si>
    <t>TIINDIA</t>
  </si>
  <si>
    <t>ULTRACEMCO</t>
  </si>
  <si>
    <t>UNIPARTS</t>
  </si>
  <si>
    <t>UNITDSPR</t>
  </si>
  <si>
    <t>USHAMART</t>
  </si>
  <si>
    <t>UTIAMC</t>
  </si>
  <si>
    <t>VADILALIND</t>
  </si>
  <si>
    <t>VBL</t>
  </si>
  <si>
    <t>VEDL</t>
  </si>
  <si>
    <t>VIDHIING</t>
  </si>
  <si>
    <t>VIJAYA</t>
  </si>
  <si>
    <t>VIMTALABS</t>
  </si>
  <si>
    <t>VINATIORGA</t>
  </si>
  <si>
    <t>VISHNU</t>
  </si>
  <si>
    <t>VOLTAS</t>
  </si>
  <si>
    <t>VSTIND</t>
  </si>
  <si>
    <t>WELSPUNLIV</t>
  </si>
  <si>
    <t>WENDT</t>
  </si>
  <si>
    <t>WSTCSTPAPR</t>
  </si>
  <si>
    <t>XPROINDIA</t>
  </si>
  <si>
    <t>YASHO</t>
  </si>
  <si>
    <t>ZYDUSLIFE</t>
  </si>
  <si>
    <t>name</t>
  </si>
  <si>
    <t>volume_change</t>
  </si>
  <si>
    <t>price_change</t>
  </si>
  <si>
    <t>mor</t>
  </si>
  <si>
    <t>mor_age</t>
  </si>
  <si>
    <t>cluster</t>
  </si>
  <si>
    <t>cluster_age</t>
  </si>
  <si>
    <t>sma_200</t>
  </si>
  <si>
    <t>sma_100</t>
  </si>
  <si>
    <t>sma_50</t>
  </si>
  <si>
    <t>mor_date</t>
  </si>
  <si>
    <t>cluster_date</t>
  </si>
  <si>
    <t>date</t>
  </si>
  <si>
    <t>open</t>
  </si>
  <si>
    <t>high</t>
  </si>
  <si>
    <t>low</t>
  </si>
  <si>
    <t>close</t>
  </si>
  <si>
    <t>volume</t>
  </si>
  <si>
    <t>volume_20_ma</t>
  </si>
  <si>
    <t>price_above_200_sma</t>
  </si>
  <si>
    <t>rsi</t>
  </si>
  <si>
    <t>Bear</t>
  </si>
  <si>
    <t>False</t>
  </si>
  <si>
    <t>Bull</t>
  </si>
  <si>
    <t>True</t>
  </si>
  <si>
    <t>phase</t>
  </si>
  <si>
    <t>age</t>
  </si>
  <si>
    <t>entry_price</t>
  </si>
  <si>
    <t>entry_date</t>
  </si>
  <si>
    <t>exit_price</t>
  </si>
  <si>
    <t>exit_date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</si>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</sst>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0"/>
      <color rgb="FF000000"/>
      <name val="Arial"/>
      <scheme val="minor"/>
    </font>
    <font>
      <b/>
      <sz val="10"/>
      <color rgb="FF37415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3" fillId="4" borderId="0" xfId="0" applyFont="1" applyFill="1"/>
    <xf numFmtId="0" fontId="4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64" fontId="0" fillId="0" borderId="0" xfId="0" applyNumberFormat="1"/>
    <xf numFmtId="0" fontId="5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38761D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499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28125" defaultRowHeight="15.75" customHeight="1" x14ac:dyDescent="0.25"/>
  <cols>
    <col min="1" max="1" width="12.453125" customWidth="1"/>
    <col min="2" max="2" width="7.26953125" customWidth="1"/>
    <col min="3" max="3" width="7.7265625" customWidth="1"/>
    <col min="4" max="5" width="7.6328125" customWidth="1"/>
    <col min="6" max="6" width="11" customWidth="1"/>
    <col min="7" max="7" width="9.36328125" customWidth="1"/>
    <col min="8" max="8" width="10.26953125" customWidth="1"/>
    <col min="9" max="9" width="12.6328125" customWidth="1"/>
    <col min="10" max="10" width="9.36328125" customWidth="1"/>
    <col min="11" max="11" width="12.90625" customWidth="1"/>
    <col min="12" max="13" width="13.7265625" customWidth="1"/>
    <col min="14" max="14" width="13.453125" customWidth="1"/>
    <col min="15" max="15" width="10.6328125" customWidth="1"/>
    <col min="16" max="16" width="13.36328125" customWidth="1"/>
    <col min="17" max="17" width="10.453125" customWidth="1"/>
    <col min="18" max="18" width="6.36328125" customWidth="1"/>
    <col min="19" max="19" width="8.6328125" hidden="1" customWidth="1"/>
    <col min="20" max="20" width="4.36328125" hidden="1" customWidth="1"/>
    <col min="21" max="22" width="4.7265625" hidden="1" customWidth="1"/>
    <col min="23" max="23" width="13.36328125" hidden="1" customWidth="1"/>
    <col min="24" max="24" width="4.36328125" hidden="1" customWidth="1"/>
    <col min="25" max="25" width="10.453125" hidden="1" customWidth="1"/>
    <col min="26" max="26" width="5.36328125" hidden="1" customWidth="1"/>
    <col min="27" max="27" width="4.7265625" hidden="1" customWidth="1"/>
    <col min="28" max="28" width="6.36328125" hidden="1" customWidth="1"/>
    <col min="29" max="29" width="8.6328125" hidden="1" customWidth="1"/>
    <col min="30" max="30" width="4.36328125" hidden="1" customWidth="1"/>
    <col min="31" max="32" width="4.7265625" hidden="1" customWidth="1"/>
    <col min="33" max="33" width="13.453125" hidden="1" customWidth="1"/>
    <col min="34" max="34" width="3" hidden="1" customWidth="1"/>
    <col min="35" max="35" width="10.6328125" hidden="1" customWidth="1"/>
    <col min="36" max="36" width="5.36328125" hidden="1" customWidth="1"/>
    <col min="37" max="37" width="4.7265625" hidden="1" customWidth="1"/>
  </cols>
  <sheetData>
    <row r="1" spans="1:3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 t="s">
        <v>13</v>
      </c>
      <c r="Q1" s="6" t="s">
        <v>14</v>
      </c>
      <c r="R1" s="7"/>
      <c r="S1" s="8" t="s">
        <v>15</v>
      </c>
      <c r="T1" s="8" t="s">
        <v>16</v>
      </c>
      <c r="U1" s="8" t="s">
        <v>16</v>
      </c>
      <c r="V1" s="9" t="s">
        <v>16</v>
      </c>
      <c r="W1" s="9" t="s">
        <v>13</v>
      </c>
      <c r="X1" s="8" t="s">
        <v>16</v>
      </c>
      <c r="Y1" s="8" t="s">
        <v>14</v>
      </c>
      <c r="Z1" s="8" t="s">
        <v>17</v>
      </c>
      <c r="AA1" s="8" t="s">
        <v>16</v>
      </c>
      <c r="AB1" s="7"/>
      <c r="AC1" s="10" t="s">
        <v>15</v>
      </c>
      <c r="AD1" s="10" t="s">
        <v>16</v>
      </c>
      <c r="AE1" s="10" t="s">
        <v>16</v>
      </c>
      <c r="AF1" s="11" t="s">
        <v>16</v>
      </c>
      <c r="AG1" s="11" t="s">
        <v>13</v>
      </c>
      <c r="AH1" s="10" t="s">
        <v>16</v>
      </c>
      <c r="AI1" s="10" t="s">
        <v>14</v>
      </c>
      <c r="AJ1" s="10" t="s">
        <v>17</v>
      </c>
      <c r="AK1" s="10" t="s">
        <v>16</v>
      </c>
    </row>
    <row r="2" spans="1:37" ht="15.75" customHeight="1" x14ac:dyDescent="0.35">
      <c r="A2" s="12" t="s">
        <v>18</v>
      </c>
      <c r="B2" s="13">
        <f ca="1">IFERROR(__xludf.DUMMYFUNCTION("GOOGLEFINANCE(""NSE:""&amp;A2,""PRICE"")"),624.65)</f>
        <v>624.65</v>
      </c>
      <c r="C2" s="13">
        <f ca="1">IFERROR(__xludf.DUMMYFUNCTION("GOOGLEFINANCE(""NSE:""&amp;A2,""PRICEOPEN"")"),634.95)</f>
        <v>634.95000000000005</v>
      </c>
      <c r="D2" s="13">
        <f ca="1">IFERROR(__xludf.DUMMYFUNCTION("GOOGLEFINANCE(""NSE:""&amp;A2,""HIGH"")"),636.8)</f>
        <v>636.79999999999995</v>
      </c>
      <c r="E2" s="13">
        <f ca="1">IFERROR(__xludf.DUMMYFUNCTION("GOOGLEFINANCE(""NSE:""&amp;A2,""LOW"")"),620.55)</f>
        <v>620.54999999999995</v>
      </c>
      <c r="F2" s="13">
        <f ca="1">IFERROR(__xludf.DUMMYFUNCTION("GOOGLEFINANCE(""NSE:""&amp;A2,""closeyest"")"),631.8)</f>
        <v>631.79999999999995</v>
      </c>
      <c r="G2" s="14">
        <f t="shared" ref="G2:G65" ca="1" si="0">(B2-C2)/B2</f>
        <v>-1.6489233971023882E-2</v>
      </c>
      <c r="H2" s="13">
        <f ca="1">IFERROR(__xludf.DUMMYFUNCTION("GOOGLEFINANCE(""NSE:""&amp;A2,""VOLUME"")"),96917)</f>
        <v>96917</v>
      </c>
      <c r="I2" s="13" t="str">
        <f ca="1">IFERROR(__xludf.DUMMYFUNCTION("AVERAGE(index(GOOGLEFINANCE(""NSE:""&amp;$A2, ""volume"", today()-21, today()-1), , 2))"),"#N/A")</f>
        <v>#N/A</v>
      </c>
      <c r="J2" s="14" t="e">
        <f t="shared" ref="J2:J65" ca="1" si="1">(H2-I2)/I2</f>
        <v>#VALUE!</v>
      </c>
      <c r="K2" s="13" t="str">
        <f ca="1">IFERROR(__xludf.DUMMYFUNCTION("AVERAGE(index(GOOGLEFINANCE(""NSE:""&amp;$A2, ""close"", today()-6, today()-1), , 2))"),"#N/A")</f>
        <v>#N/A</v>
      </c>
      <c r="L2" s="13" t="str">
        <f ca="1">IFERROR(__xludf.DUMMYFUNCTION("AVERAGE(index(GOOGLEFINANCE(""NSE:""&amp;$A2, ""close"", today()-14, today()-1), , 2))"),"#N/A")</f>
        <v>#N/A</v>
      </c>
      <c r="M2" s="13" t="str">
        <f ca="1">IFERROR(__xludf.DUMMYFUNCTION("AVERAGE(index(GOOGLEFINANCE(""NSE:""&amp;$A2, ""close"", today()-22, today()-1), , 2))"),"#N/A")</f>
        <v>#N/A</v>
      </c>
      <c r="N2" s="13" t="str">
        <f t="shared" ref="N2:N65" ca="1" si="2">AG2</f>
        <v>No_Action</v>
      </c>
      <c r="O2" s="13" t="str">
        <f t="shared" ref="O2:O65" ca="1" si="3">AI2</f>
        <v>No_Action</v>
      </c>
      <c r="P2" s="13" t="str">
        <f t="shared" ref="P2:P65" ca="1" si="4">W2</f>
        <v>No_Action</v>
      </c>
      <c r="Q2" s="13" t="str">
        <f t="shared" ref="Q2:Q65" ca="1" si="5">Y2</f>
        <v>No_Action</v>
      </c>
      <c r="R2" s="15"/>
      <c r="S2" s="15" t="str">
        <f t="shared" ref="S2:S65" ca="1" si="6">LEFT(W2,2)&amp;LEFT(Y2,2)</f>
        <v>NoNo</v>
      </c>
      <c r="T2" s="15"/>
      <c r="U2" s="15">
        <f t="shared" ref="U2:U65" ca="1" si="7">IF(K2&lt;L2,1,0)</f>
        <v>0</v>
      </c>
      <c r="V2" s="15">
        <f t="shared" ref="V2:V65" ca="1" si="8">IF(H2&gt;I2,1,0)</f>
        <v>0</v>
      </c>
      <c r="W2" s="15" t="str">
        <f t="shared" ref="W2:W65" ca="1" si="9">IF(SUM(U2:V2)=2,"Anticipatory_Sell","No_Action")</f>
        <v>No_Action</v>
      </c>
      <c r="X2" s="15"/>
      <c r="Y2" s="15" t="str">
        <f t="shared" ref="Y2:Y65" ca="1" si="10">IF(SUM(Z2:AA2)=2,"Confirm_Sell","No_Action")</f>
        <v>No_Action</v>
      </c>
      <c r="Z2" s="15">
        <f t="shared" ref="Z2:Z65" ca="1" si="11">IF(H2&gt;I2,1,0)</f>
        <v>0</v>
      </c>
      <c r="AA2" s="15">
        <f t="shared" ref="AA2:AA65" ca="1" si="12">IF(K2&lt;M2,1,0)</f>
        <v>0</v>
      </c>
      <c r="AB2" s="15"/>
      <c r="AC2" s="15" t="str">
        <f t="shared" ref="AC2:AC65" ca="1" si="13">LEFT(AG2,2)&amp;LEFT(AI2,2)</f>
        <v>NoNo</v>
      </c>
      <c r="AD2" s="15"/>
      <c r="AE2" s="15">
        <f t="shared" ref="AE2:AE65" ca="1" si="14">IF(K2&gt;L2,1,0)</f>
        <v>0</v>
      </c>
      <c r="AF2" s="16">
        <f t="shared" ref="AF2:AF65" ca="1" si="15">IF(H2&gt;I2,1,0)</f>
        <v>0</v>
      </c>
      <c r="AG2" s="16" t="str">
        <f t="shared" ref="AG2:AG65" ca="1" si="16">IF(SUM(AE2:AF2)=2,"Anticipatory_Buy","No_Action")</f>
        <v>No_Action</v>
      </c>
      <c r="AH2" s="15"/>
      <c r="AI2" s="15" t="str">
        <f t="shared" ref="AI2:AI65" ca="1" si="17">IF(SUM(AJ2:AK2)=2,"Confirm_Buy","No_Action")</f>
        <v>No_Action</v>
      </c>
      <c r="AJ2" s="15">
        <f t="shared" ref="AJ2:AJ65" ca="1" si="18">IF(H2&gt;I2,1,0)</f>
        <v>0</v>
      </c>
      <c r="AK2" s="15">
        <f t="shared" ref="AK2:AK65" ca="1" si="19">IF(K2&gt;M2,1,0)</f>
        <v>0</v>
      </c>
    </row>
    <row r="3" spans="1:37" ht="15.75" customHeight="1" x14ac:dyDescent="0.35">
      <c r="A3" s="12" t="s">
        <v>19</v>
      </c>
      <c r="B3" s="13">
        <f ca="1">IFERROR(__xludf.DUMMYFUNCTION("GOOGLEFINANCE(""NSE:""&amp;A3,""PRICE"")"),1661.95)</f>
        <v>1661.95</v>
      </c>
      <c r="C3" s="13">
        <f ca="1">IFERROR(__xludf.DUMMYFUNCTION("GOOGLEFINANCE(""NSE:""&amp;A3,""PRICEOPEN"")"),1650.5)</f>
        <v>1650.5</v>
      </c>
      <c r="D3" s="13">
        <f ca="1">IFERROR(__xludf.DUMMYFUNCTION("GOOGLEFINANCE(""NSE:""&amp;A3,""HIGH"")"),1667.2)</f>
        <v>1667.2</v>
      </c>
      <c r="E3" s="13">
        <f ca="1">IFERROR(__xludf.DUMMYFUNCTION("GOOGLEFINANCE(""NSE:""&amp;A3,""LOW"")"),1645)</f>
        <v>1645</v>
      </c>
      <c r="F3" s="13">
        <f ca="1">IFERROR(__xludf.DUMMYFUNCTION("GOOGLEFINANCE(""NSE:""&amp;A3,""closeyest"")"),1653.15)</f>
        <v>1653.15</v>
      </c>
      <c r="G3" s="14">
        <f t="shared" ca="1" si="0"/>
        <v>6.889497277294771E-3</v>
      </c>
      <c r="H3" s="13">
        <f ca="1">IFERROR(__xludf.DUMMYFUNCTION("GOOGLEFINANCE(""NSE:""&amp;A3,""VOLUME"")"),57781)</f>
        <v>57781</v>
      </c>
      <c r="I3" s="13" t="str">
        <f ca="1">IFERROR(__xludf.DUMMYFUNCTION("AVERAGE(index(GOOGLEFINANCE(""NSE:""&amp;$A3, ""volume"", today()-21, today()-1), , 2))"),"#N/A")</f>
        <v>#N/A</v>
      </c>
      <c r="J3" s="14" t="e">
        <f t="shared" ca="1" si="1"/>
        <v>#VALUE!</v>
      </c>
      <c r="K3" s="13" t="str">
        <f ca="1">IFERROR(__xludf.DUMMYFUNCTION("AVERAGE(index(GOOGLEFINANCE(""NSE:""&amp;$A3, ""close"", today()-6, today()-1), , 2))"),"#N/A")</f>
        <v>#N/A</v>
      </c>
      <c r="L3" s="13" t="str">
        <f ca="1">IFERROR(__xludf.DUMMYFUNCTION("AVERAGE(index(GOOGLEFINANCE(""NSE:""&amp;$A3, ""close"", today()-14, today()-1), , 2))"),"#N/A")</f>
        <v>#N/A</v>
      </c>
      <c r="M3" s="13" t="str">
        <f ca="1">IFERROR(__xludf.DUMMYFUNCTION("AVERAGE(index(GOOGLEFINANCE(""NSE:""&amp;$A3, ""close"", today()-22, today()-1), , 2))"),"#N/A")</f>
        <v>#N/A</v>
      </c>
      <c r="N3" s="13" t="str">
        <f t="shared" ca="1" si="2"/>
        <v>No_Action</v>
      </c>
      <c r="O3" s="13" t="str">
        <f t="shared" ca="1" si="3"/>
        <v>No_Action</v>
      </c>
      <c r="P3" s="13" t="str">
        <f t="shared" ca="1" si="4"/>
        <v>No_Action</v>
      </c>
      <c r="Q3" s="13" t="str">
        <f t="shared" ca="1" si="5"/>
        <v>No_Action</v>
      </c>
      <c r="R3" s="15"/>
      <c r="S3" s="15" t="str">
        <f t="shared" ca="1" si="6"/>
        <v>NoNo</v>
      </c>
      <c r="T3" s="15"/>
      <c r="U3" s="15">
        <f t="shared" ca="1" si="7"/>
        <v>0</v>
      </c>
      <c r="V3" s="15">
        <f t="shared" ca="1" si="8"/>
        <v>0</v>
      </c>
      <c r="W3" s="15" t="str">
        <f t="shared" ca="1" si="9"/>
        <v>No_Action</v>
      </c>
      <c r="X3" s="15"/>
      <c r="Y3" s="15" t="str">
        <f t="shared" ca="1" si="10"/>
        <v>No_Action</v>
      </c>
      <c r="Z3" s="15">
        <f t="shared" ca="1" si="11"/>
        <v>0</v>
      </c>
      <c r="AA3" s="15">
        <f t="shared" ca="1" si="12"/>
        <v>0</v>
      </c>
      <c r="AB3" s="15"/>
      <c r="AC3" s="15" t="str">
        <f t="shared" ca="1" si="13"/>
        <v>NoNo</v>
      </c>
      <c r="AD3" s="15"/>
      <c r="AE3" s="15">
        <f t="shared" ca="1" si="14"/>
        <v>0</v>
      </c>
      <c r="AF3" s="16">
        <f t="shared" ca="1" si="15"/>
        <v>0</v>
      </c>
      <c r="AG3" s="16" t="str">
        <f t="shared" ca="1" si="16"/>
        <v>No_Action</v>
      </c>
      <c r="AH3" s="15"/>
      <c r="AI3" s="15" t="str">
        <f t="shared" ca="1" si="17"/>
        <v>No_Action</v>
      </c>
      <c r="AJ3" s="15">
        <f t="shared" ca="1" si="18"/>
        <v>0</v>
      </c>
      <c r="AK3" s="15">
        <f t="shared" ca="1" si="19"/>
        <v>0</v>
      </c>
    </row>
    <row r="4" spans="1:37" ht="15.75" customHeight="1" x14ac:dyDescent="0.35">
      <c r="A4" s="12" t="s">
        <v>20</v>
      </c>
      <c r="B4" s="13">
        <f ca="1">IFERROR(__xludf.DUMMYFUNCTION("GOOGLEFINANCE(""NSE:""&amp;A4,""PRICE"")"),2263.05)</f>
        <v>2263.0500000000002</v>
      </c>
      <c r="C4" s="13">
        <f ca="1">IFERROR(__xludf.DUMMYFUNCTION("GOOGLEFINANCE(""NSE:""&amp;A4,""PRICEOPEN"")"),2258.35)</f>
        <v>2258.35</v>
      </c>
      <c r="D4" s="13">
        <f ca="1">IFERROR(__xludf.DUMMYFUNCTION("GOOGLEFINANCE(""NSE:""&amp;A4,""HIGH"")"),2273.05)</f>
        <v>2273.0500000000002</v>
      </c>
      <c r="E4" s="13">
        <f ca="1">IFERROR(__xludf.DUMMYFUNCTION("GOOGLEFINANCE(""NSE:""&amp;A4,""LOW"")"),2246.05)</f>
        <v>2246.0500000000002</v>
      </c>
      <c r="F4" s="13">
        <f ca="1">IFERROR(__xludf.DUMMYFUNCTION("GOOGLEFINANCE(""NSE:""&amp;A4,""closeyest"")"),2258.35)</f>
        <v>2258.35</v>
      </c>
      <c r="G4" s="14">
        <f t="shared" ca="1" si="0"/>
        <v>2.0768431983386459E-3</v>
      </c>
      <c r="H4" s="13">
        <f ca="1">IFERROR(__xludf.DUMMYFUNCTION("GOOGLEFINANCE(""NSE:""&amp;A4,""VOLUME"")"),132854)</f>
        <v>132854</v>
      </c>
      <c r="I4" s="13" t="str">
        <f ca="1">IFERROR(__xludf.DUMMYFUNCTION("AVERAGE(index(GOOGLEFINANCE(""NSE:""&amp;$A4, ""volume"", today()-21, today()-1), , 2))"),"#N/A")</f>
        <v>#N/A</v>
      </c>
      <c r="J4" s="14" t="e">
        <f t="shared" ca="1" si="1"/>
        <v>#VALUE!</v>
      </c>
      <c r="K4" s="13" t="str">
        <f ca="1">IFERROR(__xludf.DUMMYFUNCTION("AVERAGE(index(GOOGLEFINANCE(""NSE:""&amp;$A4, ""close"", today()-6, today()-1), , 2))"),"#N/A")</f>
        <v>#N/A</v>
      </c>
      <c r="L4" s="13" t="str">
        <f ca="1">IFERROR(__xludf.DUMMYFUNCTION("AVERAGE(index(GOOGLEFINANCE(""NSE:""&amp;$A4, ""close"", today()-14, today()-1), , 2))"),"#N/A")</f>
        <v>#N/A</v>
      </c>
      <c r="M4" s="13" t="str">
        <f ca="1">IFERROR(__xludf.DUMMYFUNCTION("AVERAGE(index(GOOGLEFINANCE(""NSE:""&amp;$A4, ""close"", today()-22, today()-1), , 2))"),"#N/A")</f>
        <v>#N/A</v>
      </c>
      <c r="N4" s="13" t="str">
        <f t="shared" ca="1" si="2"/>
        <v>No_Action</v>
      </c>
      <c r="O4" s="13" t="str">
        <f t="shared" ca="1" si="3"/>
        <v>No_Action</v>
      </c>
      <c r="P4" s="13" t="str">
        <f t="shared" ca="1" si="4"/>
        <v>No_Action</v>
      </c>
      <c r="Q4" s="13" t="str">
        <f t="shared" ca="1" si="5"/>
        <v>No_Action</v>
      </c>
      <c r="R4" s="15"/>
      <c r="S4" s="15" t="str">
        <f t="shared" ca="1" si="6"/>
        <v>NoNo</v>
      </c>
      <c r="T4" s="15"/>
      <c r="U4" s="15">
        <f t="shared" ca="1" si="7"/>
        <v>0</v>
      </c>
      <c r="V4" s="15">
        <f t="shared" ca="1" si="8"/>
        <v>0</v>
      </c>
      <c r="W4" s="15" t="str">
        <f t="shared" ca="1" si="9"/>
        <v>No_Action</v>
      </c>
      <c r="X4" s="15"/>
      <c r="Y4" s="15" t="str">
        <f t="shared" ca="1" si="10"/>
        <v>No_Action</v>
      </c>
      <c r="Z4" s="15">
        <f t="shared" ca="1" si="11"/>
        <v>0</v>
      </c>
      <c r="AA4" s="15">
        <f t="shared" ca="1" si="12"/>
        <v>0</v>
      </c>
      <c r="AB4" s="15"/>
      <c r="AC4" s="15" t="str">
        <f t="shared" ca="1" si="13"/>
        <v>NoNo</v>
      </c>
      <c r="AD4" s="15"/>
      <c r="AE4" s="15">
        <f t="shared" ca="1" si="14"/>
        <v>0</v>
      </c>
      <c r="AF4" s="16">
        <f t="shared" ca="1" si="15"/>
        <v>0</v>
      </c>
      <c r="AG4" s="16" t="str">
        <f t="shared" ca="1" si="16"/>
        <v>No_Action</v>
      </c>
      <c r="AH4" s="15"/>
      <c r="AI4" s="15" t="str">
        <f t="shared" ca="1" si="17"/>
        <v>No_Action</v>
      </c>
      <c r="AJ4" s="15">
        <f t="shared" ca="1" si="18"/>
        <v>0</v>
      </c>
      <c r="AK4" s="15">
        <f t="shared" ca="1" si="19"/>
        <v>0</v>
      </c>
    </row>
    <row r="5" spans="1:37" ht="15.75" customHeight="1" x14ac:dyDescent="0.35">
      <c r="A5" s="12" t="s">
        <v>21</v>
      </c>
      <c r="B5" s="13">
        <f ca="1">IFERROR(__xludf.DUMMYFUNCTION("GOOGLEFINANCE(""NSE:""&amp;A5,""PRICE"")"),1266.35)</f>
        <v>1266.3499999999999</v>
      </c>
      <c r="C5" s="13">
        <f ca="1">IFERROR(__xludf.DUMMYFUNCTION("GOOGLEFINANCE(""NSE:""&amp;A5,""PRICEOPEN"")"),1257.8)</f>
        <v>1257.8</v>
      </c>
      <c r="D5" s="13">
        <f ca="1">IFERROR(__xludf.DUMMYFUNCTION("GOOGLEFINANCE(""NSE:""&amp;A5,""HIGH"")"),1277.55)</f>
        <v>1277.55</v>
      </c>
      <c r="E5" s="13">
        <f ca="1">IFERROR(__xludf.DUMMYFUNCTION("GOOGLEFINANCE(""NSE:""&amp;A5,""LOW"")"),1249)</f>
        <v>1249</v>
      </c>
      <c r="F5" s="13">
        <f ca="1">IFERROR(__xludf.DUMMYFUNCTION("GOOGLEFINANCE(""NSE:""&amp;A5,""closeyest"")"),1259.05)</f>
        <v>1259.05</v>
      </c>
      <c r="G5" s="14">
        <f t="shared" ca="1" si="0"/>
        <v>6.75168792198046E-3</v>
      </c>
      <c r="H5" s="13">
        <f ca="1">IFERROR(__xludf.DUMMYFUNCTION("GOOGLEFINANCE(""NSE:""&amp;A5,""VOLUME"")"),2849557)</f>
        <v>2849557</v>
      </c>
      <c r="I5" s="13" t="str">
        <f ca="1">IFERROR(__xludf.DUMMYFUNCTION("AVERAGE(index(GOOGLEFINANCE(""NSE:""&amp;$A5, ""volume"", today()-21, today()-1), , 2))"),"#N/A")</f>
        <v>#N/A</v>
      </c>
      <c r="J5" s="14" t="e">
        <f t="shared" ca="1" si="1"/>
        <v>#VALUE!</v>
      </c>
      <c r="K5" s="13" t="str">
        <f ca="1">IFERROR(__xludf.DUMMYFUNCTION("AVERAGE(index(GOOGLEFINANCE(""NSE:""&amp;$A5, ""close"", today()-6, today()-1), , 2))"),"#N/A")</f>
        <v>#N/A</v>
      </c>
      <c r="L5" s="13" t="str">
        <f ca="1">IFERROR(__xludf.DUMMYFUNCTION("AVERAGE(index(GOOGLEFINANCE(""NSE:""&amp;$A5, ""close"", today()-14, today()-1), , 2))"),"#N/A")</f>
        <v>#N/A</v>
      </c>
      <c r="M5" s="13" t="str">
        <f ca="1">IFERROR(__xludf.DUMMYFUNCTION("AVERAGE(index(GOOGLEFINANCE(""NSE:""&amp;$A5, ""close"", today()-22, today()-1), , 2))"),"#N/A")</f>
        <v>#N/A</v>
      </c>
      <c r="N5" s="13" t="str">
        <f t="shared" ca="1" si="2"/>
        <v>No_Action</v>
      </c>
      <c r="O5" s="13" t="str">
        <f t="shared" ca="1" si="3"/>
        <v>No_Action</v>
      </c>
      <c r="P5" s="13" t="str">
        <f t="shared" ca="1" si="4"/>
        <v>No_Action</v>
      </c>
      <c r="Q5" s="13" t="str">
        <f t="shared" ca="1" si="5"/>
        <v>No_Action</v>
      </c>
      <c r="R5" s="15"/>
      <c r="S5" s="15" t="str">
        <f t="shared" ca="1" si="6"/>
        <v>NoNo</v>
      </c>
      <c r="T5" s="15"/>
      <c r="U5" s="15">
        <f t="shared" ca="1" si="7"/>
        <v>0</v>
      </c>
      <c r="V5" s="15">
        <f t="shared" ca="1" si="8"/>
        <v>0</v>
      </c>
      <c r="W5" s="15" t="str">
        <f t="shared" ca="1" si="9"/>
        <v>No_Action</v>
      </c>
      <c r="X5" s="15"/>
      <c r="Y5" s="15" t="str">
        <f t="shared" ca="1" si="10"/>
        <v>No_Action</v>
      </c>
      <c r="Z5" s="15">
        <f t="shared" ca="1" si="11"/>
        <v>0</v>
      </c>
      <c r="AA5" s="15">
        <f t="shared" ca="1" si="12"/>
        <v>0</v>
      </c>
      <c r="AB5" s="15"/>
      <c r="AC5" s="15" t="str">
        <f t="shared" ca="1" si="13"/>
        <v>NoNo</v>
      </c>
      <c r="AD5" s="15"/>
      <c r="AE5" s="15">
        <f t="shared" ca="1" si="14"/>
        <v>0</v>
      </c>
      <c r="AF5" s="16">
        <f t="shared" ca="1" si="15"/>
        <v>0</v>
      </c>
      <c r="AG5" s="16" t="str">
        <f t="shared" ca="1" si="16"/>
        <v>No_Action</v>
      </c>
      <c r="AH5" s="15"/>
      <c r="AI5" s="15" t="str">
        <f t="shared" ca="1" si="17"/>
        <v>No_Action</v>
      </c>
      <c r="AJ5" s="15">
        <f t="shared" ca="1" si="18"/>
        <v>0</v>
      </c>
      <c r="AK5" s="15">
        <f t="shared" ca="1" si="19"/>
        <v>0</v>
      </c>
    </row>
    <row r="6" spans="1:37" ht="15.75" customHeight="1" x14ac:dyDescent="0.35">
      <c r="A6" s="12" t="s">
        <v>22</v>
      </c>
      <c r="B6" s="13">
        <f ca="1">IFERROR(__xludf.DUMMYFUNCTION("GOOGLEFINANCE(""NSE:""&amp;A6,""PRICE"")"),536)</f>
        <v>536</v>
      </c>
      <c r="C6" s="13">
        <f ca="1">IFERROR(__xludf.DUMMYFUNCTION("GOOGLEFINANCE(""NSE:""&amp;A6,""PRICEOPEN"")"),539)</f>
        <v>539</v>
      </c>
      <c r="D6" s="13">
        <f ca="1">IFERROR(__xludf.DUMMYFUNCTION("GOOGLEFINANCE(""NSE:""&amp;A6,""HIGH"")"),544.15)</f>
        <v>544.15</v>
      </c>
      <c r="E6" s="13">
        <f ca="1">IFERROR(__xludf.DUMMYFUNCTION("GOOGLEFINANCE(""NSE:""&amp;A6,""LOW"")"),534.2)</f>
        <v>534.20000000000005</v>
      </c>
      <c r="F6" s="13">
        <f ca="1">IFERROR(__xludf.DUMMYFUNCTION("GOOGLEFINANCE(""NSE:""&amp;A6,""closeyest"")"),536.1)</f>
        <v>536.1</v>
      </c>
      <c r="G6" s="14">
        <f t="shared" ca="1" si="0"/>
        <v>-5.597014925373134E-3</v>
      </c>
      <c r="H6" s="13">
        <f ca="1">IFERROR(__xludf.DUMMYFUNCTION("GOOGLEFINANCE(""NSE:""&amp;A6,""VOLUME"")"),3749073)</f>
        <v>3749073</v>
      </c>
      <c r="I6" s="13" t="str">
        <f ca="1">IFERROR(__xludf.DUMMYFUNCTION("AVERAGE(index(GOOGLEFINANCE(""NSE:""&amp;$A6, ""volume"", today()-21, today()-1), , 2))"),"#N/A")</f>
        <v>#N/A</v>
      </c>
      <c r="J6" s="14" t="e">
        <f t="shared" ca="1" si="1"/>
        <v>#VALUE!</v>
      </c>
      <c r="K6" s="13" t="str">
        <f ca="1">IFERROR(__xludf.DUMMYFUNCTION("AVERAGE(index(GOOGLEFINANCE(""NSE:""&amp;$A6, ""close"", today()-6, today()-1), , 2))"),"#N/A")</f>
        <v>#N/A</v>
      </c>
      <c r="L6" s="13" t="str">
        <f ca="1">IFERROR(__xludf.DUMMYFUNCTION("AVERAGE(index(GOOGLEFINANCE(""NSE:""&amp;$A6, ""close"", today()-14, today()-1), , 2))"),"#N/A")</f>
        <v>#N/A</v>
      </c>
      <c r="M6" s="13" t="str">
        <f ca="1">IFERROR(__xludf.DUMMYFUNCTION("AVERAGE(index(GOOGLEFINANCE(""NSE:""&amp;$A6, ""close"", today()-22, today()-1), , 2))"),"#N/A")</f>
        <v>#N/A</v>
      </c>
      <c r="N6" s="13" t="str">
        <f t="shared" ca="1" si="2"/>
        <v>No_Action</v>
      </c>
      <c r="O6" s="13" t="str">
        <f t="shared" ca="1" si="3"/>
        <v>No_Action</v>
      </c>
      <c r="P6" s="13" t="str">
        <f t="shared" ca="1" si="4"/>
        <v>No_Action</v>
      </c>
      <c r="Q6" s="13" t="str">
        <f t="shared" ca="1" si="5"/>
        <v>No_Action</v>
      </c>
      <c r="R6" s="15"/>
      <c r="S6" s="15" t="str">
        <f t="shared" ca="1" si="6"/>
        <v>NoNo</v>
      </c>
      <c r="T6" s="15"/>
      <c r="U6" s="15">
        <f t="shared" ca="1" si="7"/>
        <v>0</v>
      </c>
      <c r="V6" s="15">
        <f t="shared" ca="1" si="8"/>
        <v>0</v>
      </c>
      <c r="W6" s="15" t="str">
        <f t="shared" ca="1" si="9"/>
        <v>No_Action</v>
      </c>
      <c r="X6" s="15"/>
      <c r="Y6" s="15" t="str">
        <f t="shared" ca="1" si="10"/>
        <v>No_Action</v>
      </c>
      <c r="Z6" s="15">
        <f t="shared" ca="1" si="11"/>
        <v>0</v>
      </c>
      <c r="AA6" s="15">
        <f t="shared" ca="1" si="12"/>
        <v>0</v>
      </c>
      <c r="AB6" s="15"/>
      <c r="AC6" s="15" t="str">
        <f t="shared" ca="1" si="13"/>
        <v>NoNo</v>
      </c>
      <c r="AD6" s="15"/>
      <c r="AE6" s="15">
        <f t="shared" ca="1" si="14"/>
        <v>0</v>
      </c>
      <c r="AF6" s="16">
        <f t="shared" ca="1" si="15"/>
        <v>0</v>
      </c>
      <c r="AG6" s="16" t="str">
        <f t="shared" ca="1" si="16"/>
        <v>No_Action</v>
      </c>
      <c r="AH6" s="15"/>
      <c r="AI6" s="15" t="str">
        <f t="shared" ca="1" si="17"/>
        <v>No_Action</v>
      </c>
      <c r="AJ6" s="15">
        <f t="shared" ca="1" si="18"/>
        <v>0</v>
      </c>
      <c r="AK6" s="15">
        <f t="shared" ca="1" si="19"/>
        <v>0</v>
      </c>
    </row>
    <row r="7" spans="1:37" ht="15.75" customHeight="1" x14ac:dyDescent="0.35">
      <c r="A7" s="12" t="s">
        <v>23</v>
      </c>
      <c r="B7" s="13">
        <f ca="1">IFERROR(__xludf.DUMMYFUNCTION("GOOGLEFINANCE(""NSE:""&amp;A7,""PRICE"")"),336)</f>
        <v>336</v>
      </c>
      <c r="C7" s="13">
        <f ca="1">IFERROR(__xludf.DUMMYFUNCTION("GOOGLEFINANCE(""NSE:""&amp;A7,""PRICEOPEN"")"),335.95)</f>
        <v>335.95</v>
      </c>
      <c r="D7" s="13">
        <f ca="1">IFERROR(__xludf.DUMMYFUNCTION("GOOGLEFINANCE(""NSE:""&amp;A7,""HIGH"")"),343.1)</f>
        <v>343.1</v>
      </c>
      <c r="E7" s="13">
        <f ca="1">IFERROR(__xludf.DUMMYFUNCTION("GOOGLEFINANCE(""NSE:""&amp;A7,""LOW"")"),331.55)</f>
        <v>331.55</v>
      </c>
      <c r="F7" s="13">
        <f ca="1">IFERROR(__xludf.DUMMYFUNCTION("GOOGLEFINANCE(""NSE:""&amp;A7,""closeyest"")"),335.2)</f>
        <v>335.2</v>
      </c>
      <c r="G7" s="14">
        <f t="shared" ca="1" si="0"/>
        <v>1.4880952380955765E-4</v>
      </c>
      <c r="H7" s="13">
        <f ca="1">IFERROR(__xludf.DUMMYFUNCTION("GOOGLEFINANCE(""NSE:""&amp;A7,""VOLUME"")"),259899)</f>
        <v>259899</v>
      </c>
      <c r="I7" s="13" t="str">
        <f ca="1">IFERROR(__xludf.DUMMYFUNCTION("AVERAGE(index(GOOGLEFINANCE(""NSE:""&amp;$A7, ""volume"", today()-21, today()-1), , 2))"),"#N/A")</f>
        <v>#N/A</v>
      </c>
      <c r="J7" s="14" t="e">
        <f t="shared" ca="1" si="1"/>
        <v>#VALUE!</v>
      </c>
      <c r="K7" s="13" t="str">
        <f ca="1">IFERROR(__xludf.DUMMYFUNCTION("AVERAGE(index(GOOGLEFINANCE(""NSE:""&amp;$A7, ""close"", today()-6, today()-1), , 2))"),"#N/A")</f>
        <v>#N/A</v>
      </c>
      <c r="L7" s="13" t="str">
        <f ca="1">IFERROR(__xludf.DUMMYFUNCTION("AVERAGE(index(GOOGLEFINANCE(""NSE:""&amp;$A7, ""close"", today()-14, today()-1), , 2))"),"#N/A")</f>
        <v>#N/A</v>
      </c>
      <c r="M7" s="13" t="str">
        <f ca="1">IFERROR(__xludf.DUMMYFUNCTION("AVERAGE(index(GOOGLEFINANCE(""NSE:""&amp;$A7, ""close"", today()-22, today()-1), , 2))"),"#N/A")</f>
        <v>#N/A</v>
      </c>
      <c r="N7" s="13" t="str">
        <f t="shared" ca="1" si="2"/>
        <v>No_Action</v>
      </c>
      <c r="O7" s="13" t="str">
        <f t="shared" ca="1" si="3"/>
        <v>No_Action</v>
      </c>
      <c r="P7" s="13" t="str">
        <f t="shared" ca="1" si="4"/>
        <v>No_Action</v>
      </c>
      <c r="Q7" s="13" t="str">
        <f t="shared" ca="1" si="5"/>
        <v>No_Action</v>
      </c>
      <c r="R7" s="15"/>
      <c r="S7" s="15" t="str">
        <f t="shared" ca="1" si="6"/>
        <v>NoNo</v>
      </c>
      <c r="T7" s="15"/>
      <c r="U7" s="15">
        <f t="shared" ca="1" si="7"/>
        <v>0</v>
      </c>
      <c r="V7" s="15">
        <f t="shared" ca="1" si="8"/>
        <v>0</v>
      </c>
      <c r="W7" s="15" t="str">
        <f t="shared" ca="1" si="9"/>
        <v>No_Action</v>
      </c>
      <c r="X7" s="15"/>
      <c r="Y7" s="15" t="str">
        <f t="shared" ca="1" si="10"/>
        <v>No_Action</v>
      </c>
      <c r="Z7" s="15">
        <f t="shared" ca="1" si="11"/>
        <v>0</v>
      </c>
      <c r="AA7" s="15">
        <f t="shared" ca="1" si="12"/>
        <v>0</v>
      </c>
      <c r="AB7" s="15"/>
      <c r="AC7" s="15" t="str">
        <f t="shared" ca="1" si="13"/>
        <v>NoNo</v>
      </c>
      <c r="AD7" s="15"/>
      <c r="AE7" s="15">
        <f t="shared" ca="1" si="14"/>
        <v>0</v>
      </c>
      <c r="AF7" s="16">
        <f t="shared" ca="1" si="15"/>
        <v>0</v>
      </c>
      <c r="AG7" s="16" t="str">
        <f t="shared" ca="1" si="16"/>
        <v>No_Action</v>
      </c>
      <c r="AH7" s="15"/>
      <c r="AI7" s="15" t="str">
        <f t="shared" ca="1" si="17"/>
        <v>No_Action</v>
      </c>
      <c r="AJ7" s="15">
        <f t="shared" ca="1" si="18"/>
        <v>0</v>
      </c>
      <c r="AK7" s="15">
        <f t="shared" ca="1" si="19"/>
        <v>0</v>
      </c>
    </row>
    <row r="8" spans="1:37" ht="15.75" customHeight="1" x14ac:dyDescent="0.35">
      <c r="A8" s="12" t="s">
        <v>24</v>
      </c>
      <c r="B8" s="13">
        <f ca="1">IFERROR(__xludf.DUMMYFUNCTION("GOOGLEFINANCE(""NSE:""&amp;A8,""PRICE"")"),845.35)</f>
        <v>845.35</v>
      </c>
      <c r="C8" s="13">
        <f ca="1">IFERROR(__xludf.DUMMYFUNCTION("GOOGLEFINANCE(""NSE:""&amp;A8,""PRICEOPEN"")"),854.4)</f>
        <v>854.4</v>
      </c>
      <c r="D8" s="13">
        <f ca="1">IFERROR(__xludf.DUMMYFUNCTION("GOOGLEFINANCE(""NSE:""&amp;A8,""HIGH"")"),872.2)</f>
        <v>872.2</v>
      </c>
      <c r="E8" s="13">
        <f ca="1">IFERROR(__xludf.DUMMYFUNCTION("GOOGLEFINANCE(""NSE:""&amp;A8,""LOW"")"),845)</f>
        <v>845</v>
      </c>
      <c r="F8" s="13">
        <f ca="1">IFERROR(__xludf.DUMMYFUNCTION("GOOGLEFINANCE(""NSE:""&amp;A8,""closeyest"")"),849.6)</f>
        <v>849.6</v>
      </c>
      <c r="G8" s="14">
        <f t="shared" ca="1" si="0"/>
        <v>-1.0705624889099135E-2</v>
      </c>
      <c r="H8" s="13">
        <f ca="1">IFERROR(__xludf.DUMMYFUNCTION("GOOGLEFINANCE(""NSE:""&amp;A8,""VOLUME"")"),565781)</f>
        <v>565781</v>
      </c>
      <c r="I8" s="13" t="str">
        <f ca="1">IFERROR(__xludf.DUMMYFUNCTION("AVERAGE(index(GOOGLEFINANCE(""NSE:""&amp;$A8, ""volume"", today()-21, today()-1), , 2))"),"#N/A")</f>
        <v>#N/A</v>
      </c>
      <c r="J8" s="14" t="e">
        <f t="shared" ca="1" si="1"/>
        <v>#VALUE!</v>
      </c>
      <c r="K8" s="13" t="str">
        <f ca="1">IFERROR(__xludf.DUMMYFUNCTION("AVERAGE(index(GOOGLEFINANCE(""NSE:""&amp;$A8, ""close"", today()-6, today()-1), , 2))"),"#N/A")</f>
        <v>#N/A</v>
      </c>
      <c r="L8" s="13" t="str">
        <f ca="1">IFERROR(__xludf.DUMMYFUNCTION("AVERAGE(index(GOOGLEFINANCE(""NSE:""&amp;$A8, ""close"", today()-14, today()-1), , 2))"),"#N/A")</f>
        <v>#N/A</v>
      </c>
      <c r="M8" s="13" t="str">
        <f ca="1">IFERROR(__xludf.DUMMYFUNCTION("AVERAGE(index(GOOGLEFINANCE(""NSE:""&amp;$A8, ""close"", today()-22, today()-1), , 2))"),"#N/A")</f>
        <v>#N/A</v>
      </c>
      <c r="N8" s="13" t="str">
        <f t="shared" ca="1" si="2"/>
        <v>No_Action</v>
      </c>
      <c r="O8" s="13" t="str">
        <f t="shared" ca="1" si="3"/>
        <v>No_Action</v>
      </c>
      <c r="P8" s="13" t="str">
        <f t="shared" ca="1" si="4"/>
        <v>No_Action</v>
      </c>
      <c r="Q8" s="13" t="str">
        <f t="shared" ca="1" si="5"/>
        <v>No_Action</v>
      </c>
      <c r="R8" s="15"/>
      <c r="S8" s="15" t="str">
        <f t="shared" ca="1" si="6"/>
        <v>NoNo</v>
      </c>
      <c r="T8" s="15"/>
      <c r="U8" s="15">
        <f t="shared" ca="1" si="7"/>
        <v>0</v>
      </c>
      <c r="V8" s="15">
        <f t="shared" ca="1" si="8"/>
        <v>0</v>
      </c>
      <c r="W8" s="15" t="str">
        <f t="shared" ca="1" si="9"/>
        <v>No_Action</v>
      </c>
      <c r="X8" s="15"/>
      <c r="Y8" s="15" t="str">
        <f t="shared" ca="1" si="10"/>
        <v>No_Action</v>
      </c>
      <c r="Z8" s="15">
        <f t="shared" ca="1" si="11"/>
        <v>0</v>
      </c>
      <c r="AA8" s="15">
        <f t="shared" ca="1" si="12"/>
        <v>0</v>
      </c>
      <c r="AB8" s="15"/>
      <c r="AC8" s="15" t="str">
        <f t="shared" ca="1" si="13"/>
        <v>NoNo</v>
      </c>
      <c r="AD8" s="15"/>
      <c r="AE8" s="15">
        <f t="shared" ca="1" si="14"/>
        <v>0</v>
      </c>
      <c r="AF8" s="16">
        <f t="shared" ca="1" si="15"/>
        <v>0</v>
      </c>
      <c r="AG8" s="16" t="str">
        <f t="shared" ca="1" si="16"/>
        <v>No_Action</v>
      </c>
      <c r="AH8" s="15"/>
      <c r="AI8" s="15" t="str">
        <f t="shared" ca="1" si="17"/>
        <v>No_Action</v>
      </c>
      <c r="AJ8" s="15">
        <f t="shared" ca="1" si="18"/>
        <v>0</v>
      </c>
      <c r="AK8" s="15">
        <f t="shared" ca="1" si="19"/>
        <v>0</v>
      </c>
    </row>
    <row r="9" spans="1:37" ht="15.75" customHeight="1" x14ac:dyDescent="0.35">
      <c r="A9" s="12" t="s">
        <v>25</v>
      </c>
      <c r="B9" s="13">
        <f ca="1">IFERROR(__xludf.DUMMYFUNCTION("GOOGLEFINANCE(""NSE:""&amp;A9,""PRICE"")"),308.45)</f>
        <v>308.45</v>
      </c>
      <c r="C9" s="13">
        <f ca="1">IFERROR(__xludf.DUMMYFUNCTION("GOOGLEFINANCE(""NSE:""&amp;A9,""PRICEOPEN"")"),308.5)</f>
        <v>308.5</v>
      </c>
      <c r="D9" s="13">
        <f ca="1">IFERROR(__xludf.DUMMYFUNCTION("GOOGLEFINANCE(""NSE:""&amp;A9,""HIGH"")"),312.05)</f>
        <v>312.05</v>
      </c>
      <c r="E9" s="13">
        <f ca="1">IFERROR(__xludf.DUMMYFUNCTION("GOOGLEFINANCE(""NSE:""&amp;A9,""LOW"")"),305.75)</f>
        <v>305.75</v>
      </c>
      <c r="F9" s="13">
        <f ca="1">IFERROR(__xludf.DUMMYFUNCTION("GOOGLEFINANCE(""NSE:""&amp;A9,""closeyest"")"),307.2)</f>
        <v>307.2</v>
      </c>
      <c r="G9" s="14">
        <f t="shared" ca="1" si="0"/>
        <v>-1.6210082671425311E-4</v>
      </c>
      <c r="H9" s="13">
        <f ca="1">IFERROR(__xludf.DUMMYFUNCTION("GOOGLEFINANCE(""NSE:""&amp;A9,""VOLUME"")"),5006645)</f>
        <v>5006645</v>
      </c>
      <c r="I9" s="13" t="str">
        <f ca="1">IFERROR(__xludf.DUMMYFUNCTION("AVERAGE(index(GOOGLEFINANCE(""NSE:""&amp;$A9, ""volume"", today()-21, today()-1), , 2))"),"#N/A")</f>
        <v>#N/A</v>
      </c>
      <c r="J9" s="14" t="e">
        <f t="shared" ca="1" si="1"/>
        <v>#VALUE!</v>
      </c>
      <c r="K9" s="13" t="str">
        <f ca="1">IFERROR(__xludf.DUMMYFUNCTION("AVERAGE(index(GOOGLEFINANCE(""NSE:""&amp;$A9, ""close"", today()-6, today()-1), , 2))"),"#N/A")</f>
        <v>#N/A</v>
      </c>
      <c r="L9" s="13" t="str">
        <f ca="1">IFERROR(__xludf.DUMMYFUNCTION("AVERAGE(index(GOOGLEFINANCE(""NSE:""&amp;$A9, ""close"", today()-14, today()-1), , 2))"),"#N/A")</f>
        <v>#N/A</v>
      </c>
      <c r="M9" s="13" t="str">
        <f ca="1">IFERROR(__xludf.DUMMYFUNCTION("AVERAGE(index(GOOGLEFINANCE(""NSE:""&amp;$A9, ""close"", today()-22, today()-1), , 2))"),"#N/A")</f>
        <v>#N/A</v>
      </c>
      <c r="N9" s="13" t="str">
        <f t="shared" ca="1" si="2"/>
        <v>No_Action</v>
      </c>
      <c r="O9" s="13" t="str">
        <f t="shared" ca="1" si="3"/>
        <v>No_Action</v>
      </c>
      <c r="P9" s="13" t="str">
        <f t="shared" ca="1" si="4"/>
        <v>No_Action</v>
      </c>
      <c r="Q9" s="13" t="str">
        <f t="shared" ca="1" si="5"/>
        <v>No_Action</v>
      </c>
      <c r="R9" s="15"/>
      <c r="S9" s="15" t="str">
        <f t="shared" ca="1" si="6"/>
        <v>NoNo</v>
      </c>
      <c r="T9" s="15"/>
      <c r="U9" s="15">
        <f t="shared" ca="1" si="7"/>
        <v>0</v>
      </c>
      <c r="V9" s="15">
        <f t="shared" ca="1" si="8"/>
        <v>0</v>
      </c>
      <c r="W9" s="15" t="str">
        <f t="shared" ca="1" si="9"/>
        <v>No_Action</v>
      </c>
      <c r="X9" s="15"/>
      <c r="Y9" s="15" t="str">
        <f t="shared" ca="1" si="10"/>
        <v>No_Action</v>
      </c>
      <c r="Z9" s="15">
        <f t="shared" ca="1" si="11"/>
        <v>0</v>
      </c>
      <c r="AA9" s="15">
        <f t="shared" ca="1" si="12"/>
        <v>0</v>
      </c>
      <c r="AB9" s="15"/>
      <c r="AC9" s="15" t="str">
        <f t="shared" ca="1" si="13"/>
        <v>NoNo</v>
      </c>
      <c r="AD9" s="15"/>
      <c r="AE9" s="15">
        <f t="shared" ca="1" si="14"/>
        <v>0</v>
      </c>
      <c r="AF9" s="16">
        <f t="shared" ca="1" si="15"/>
        <v>0</v>
      </c>
      <c r="AG9" s="16" t="str">
        <f t="shared" ca="1" si="16"/>
        <v>No_Action</v>
      </c>
      <c r="AH9" s="15"/>
      <c r="AI9" s="15" t="str">
        <f t="shared" ca="1" si="17"/>
        <v>No_Action</v>
      </c>
      <c r="AJ9" s="15">
        <f t="shared" ca="1" si="18"/>
        <v>0</v>
      </c>
      <c r="AK9" s="15">
        <f t="shared" ca="1" si="19"/>
        <v>0</v>
      </c>
    </row>
    <row r="10" spans="1:37" ht="15.75" customHeight="1" x14ac:dyDescent="0.35">
      <c r="A10" s="12" t="s">
        <v>26</v>
      </c>
      <c r="B10" s="13">
        <f ca="1">IFERROR(__xludf.DUMMYFUNCTION("GOOGLEFINANCE(""NSE:""&amp;A10,""PRICE"")"),196.82)</f>
        <v>196.82</v>
      </c>
      <c r="C10" s="13">
        <f ca="1">IFERROR(__xludf.DUMMYFUNCTION("GOOGLEFINANCE(""NSE:""&amp;A10,""PRICEOPEN"")"),198.55)</f>
        <v>198.55</v>
      </c>
      <c r="D10" s="13">
        <f ca="1">IFERROR(__xludf.DUMMYFUNCTION("GOOGLEFINANCE(""NSE:""&amp;A10,""HIGH"")"),199.85)</f>
        <v>199.85</v>
      </c>
      <c r="E10" s="13">
        <f ca="1">IFERROR(__xludf.DUMMYFUNCTION("GOOGLEFINANCE(""NSE:""&amp;A10,""LOW"")"),196.19)</f>
        <v>196.19</v>
      </c>
      <c r="F10" s="13">
        <f ca="1">IFERROR(__xludf.DUMMYFUNCTION("GOOGLEFINANCE(""NSE:""&amp;A10,""closeyest"")"),198.68)</f>
        <v>198.68</v>
      </c>
      <c r="G10" s="14">
        <f t="shared" ca="1" si="0"/>
        <v>-8.7897571385022778E-3</v>
      </c>
      <c r="H10" s="13">
        <f ca="1">IFERROR(__xludf.DUMMYFUNCTION("GOOGLEFINANCE(""NSE:""&amp;A10,""VOLUME"")"),4213741)</f>
        <v>4213741</v>
      </c>
      <c r="I10" s="13" t="str">
        <f ca="1">IFERROR(__xludf.DUMMYFUNCTION("AVERAGE(index(GOOGLEFINANCE(""NSE:""&amp;$A10, ""volume"", today()-21, today()-1), , 2))"),"#N/A")</f>
        <v>#N/A</v>
      </c>
      <c r="J10" s="14" t="e">
        <f t="shared" ca="1" si="1"/>
        <v>#VALUE!</v>
      </c>
      <c r="K10" s="13" t="str">
        <f ca="1">IFERROR(__xludf.DUMMYFUNCTION("AVERAGE(index(GOOGLEFINANCE(""NSE:""&amp;$A10, ""close"", today()-6, today()-1), , 2))"),"#N/A")</f>
        <v>#N/A</v>
      </c>
      <c r="L10" s="13" t="str">
        <f ca="1">IFERROR(__xludf.DUMMYFUNCTION("AVERAGE(index(GOOGLEFINANCE(""NSE:""&amp;$A10, ""close"", today()-14, today()-1), , 2))"),"#N/A")</f>
        <v>#N/A</v>
      </c>
      <c r="M10" s="13" t="str">
        <f ca="1">IFERROR(__xludf.DUMMYFUNCTION("AVERAGE(index(GOOGLEFINANCE(""NSE:""&amp;$A10, ""close"", today()-22, today()-1), , 2))"),"#N/A")</f>
        <v>#N/A</v>
      </c>
      <c r="N10" s="13" t="str">
        <f t="shared" ca="1" si="2"/>
        <v>No_Action</v>
      </c>
      <c r="O10" s="13" t="str">
        <f t="shared" ca="1" si="3"/>
        <v>No_Action</v>
      </c>
      <c r="P10" s="13" t="str">
        <f t="shared" ca="1" si="4"/>
        <v>No_Action</v>
      </c>
      <c r="Q10" s="13" t="str">
        <f t="shared" ca="1" si="5"/>
        <v>No_Action</v>
      </c>
      <c r="R10" s="15"/>
      <c r="S10" s="15" t="str">
        <f t="shared" ca="1" si="6"/>
        <v>NoNo</v>
      </c>
      <c r="T10" s="15"/>
      <c r="U10" s="15">
        <f t="shared" ca="1" si="7"/>
        <v>0</v>
      </c>
      <c r="V10" s="15">
        <f t="shared" ca="1" si="8"/>
        <v>0</v>
      </c>
      <c r="W10" s="15" t="str">
        <f t="shared" ca="1" si="9"/>
        <v>No_Action</v>
      </c>
      <c r="X10" s="15"/>
      <c r="Y10" s="15" t="str">
        <f t="shared" ca="1" si="10"/>
        <v>No_Action</v>
      </c>
      <c r="Z10" s="15">
        <f t="shared" ca="1" si="11"/>
        <v>0</v>
      </c>
      <c r="AA10" s="15">
        <f t="shared" ca="1" si="12"/>
        <v>0</v>
      </c>
      <c r="AB10" s="15"/>
      <c r="AC10" s="15" t="str">
        <f t="shared" ca="1" si="13"/>
        <v>NoNo</v>
      </c>
      <c r="AD10" s="15"/>
      <c r="AE10" s="15">
        <f t="shared" ca="1" si="14"/>
        <v>0</v>
      </c>
      <c r="AF10" s="16">
        <f t="shared" ca="1" si="15"/>
        <v>0</v>
      </c>
      <c r="AG10" s="16" t="str">
        <f t="shared" ca="1" si="16"/>
        <v>No_Action</v>
      </c>
      <c r="AH10" s="15"/>
      <c r="AI10" s="15" t="str">
        <f t="shared" ca="1" si="17"/>
        <v>No_Action</v>
      </c>
      <c r="AJ10" s="15">
        <f t="shared" ca="1" si="18"/>
        <v>0</v>
      </c>
      <c r="AK10" s="15">
        <f t="shared" ca="1" si="19"/>
        <v>0</v>
      </c>
    </row>
    <row r="11" spans="1:37" ht="15.75" customHeight="1" x14ac:dyDescent="0.35">
      <c r="A11" s="12" t="s">
        <v>27</v>
      </c>
      <c r="B11" s="13">
        <f ca="1">IFERROR(__xludf.DUMMYFUNCTION("GOOGLEFINANCE(""NSE:""&amp;A11,""PRICE"")"),391)</f>
        <v>391</v>
      </c>
      <c r="C11" s="13">
        <f ca="1">IFERROR(__xludf.DUMMYFUNCTION("GOOGLEFINANCE(""NSE:""&amp;A11,""PRICEOPEN"")"),377.6)</f>
        <v>377.6</v>
      </c>
      <c r="D11" s="13">
        <f ca="1">IFERROR(__xludf.DUMMYFUNCTION("GOOGLEFINANCE(""NSE:""&amp;A11,""HIGH"")"),391.05)</f>
        <v>391.05</v>
      </c>
      <c r="E11" s="13">
        <f ca="1">IFERROR(__xludf.DUMMYFUNCTION("GOOGLEFINANCE(""NSE:""&amp;A11,""LOW"")"),376.55)</f>
        <v>376.55</v>
      </c>
      <c r="F11" s="13">
        <f ca="1">IFERROR(__xludf.DUMMYFUNCTION("GOOGLEFINANCE(""NSE:""&amp;A11,""closeyest"")"),376.55)</f>
        <v>376.55</v>
      </c>
      <c r="G11" s="14">
        <f t="shared" ca="1" si="0"/>
        <v>3.4271099744245463E-2</v>
      </c>
      <c r="H11" s="13">
        <f ca="1">IFERROR(__xludf.DUMMYFUNCTION("GOOGLEFINANCE(""NSE:""&amp;A11,""VOLUME"")"),228149)</f>
        <v>228149</v>
      </c>
      <c r="I11" s="13" t="str">
        <f ca="1">IFERROR(__xludf.DUMMYFUNCTION("AVERAGE(index(GOOGLEFINANCE(""NSE:""&amp;$A11, ""volume"", today()-21, today()-1), , 2))"),"#N/A")</f>
        <v>#N/A</v>
      </c>
      <c r="J11" s="14" t="e">
        <f t="shared" ca="1" si="1"/>
        <v>#VALUE!</v>
      </c>
      <c r="K11" s="13" t="str">
        <f ca="1">IFERROR(__xludf.DUMMYFUNCTION("AVERAGE(index(GOOGLEFINANCE(""NSE:""&amp;$A11, ""close"", today()-6, today()-1), , 2))"),"#N/A")</f>
        <v>#N/A</v>
      </c>
      <c r="L11" s="13" t="str">
        <f ca="1">IFERROR(__xludf.DUMMYFUNCTION("AVERAGE(index(GOOGLEFINANCE(""NSE:""&amp;$A11, ""close"", today()-14, today()-1), , 2))"),"#N/A")</f>
        <v>#N/A</v>
      </c>
      <c r="M11" s="13" t="str">
        <f ca="1">IFERROR(__xludf.DUMMYFUNCTION("AVERAGE(index(GOOGLEFINANCE(""NSE:""&amp;$A11, ""close"", today()-22, today()-1), , 2))"),"#N/A")</f>
        <v>#N/A</v>
      </c>
      <c r="N11" s="13" t="str">
        <f t="shared" ca="1" si="2"/>
        <v>No_Action</v>
      </c>
      <c r="O11" s="13" t="str">
        <f t="shared" ca="1" si="3"/>
        <v>No_Action</v>
      </c>
      <c r="P11" s="13" t="str">
        <f t="shared" ca="1" si="4"/>
        <v>No_Action</v>
      </c>
      <c r="Q11" s="13" t="str">
        <f t="shared" ca="1" si="5"/>
        <v>No_Action</v>
      </c>
      <c r="R11" s="15"/>
      <c r="S11" s="15" t="str">
        <f t="shared" ca="1" si="6"/>
        <v>NoNo</v>
      </c>
      <c r="T11" s="15"/>
      <c r="U11" s="15">
        <f t="shared" ca="1" si="7"/>
        <v>0</v>
      </c>
      <c r="V11" s="15">
        <f t="shared" ca="1" si="8"/>
        <v>0</v>
      </c>
      <c r="W11" s="15" t="str">
        <f t="shared" ca="1" si="9"/>
        <v>No_Action</v>
      </c>
      <c r="X11" s="15"/>
      <c r="Y11" s="15" t="str">
        <f t="shared" ca="1" si="10"/>
        <v>No_Action</v>
      </c>
      <c r="Z11" s="15">
        <f t="shared" ca="1" si="11"/>
        <v>0</v>
      </c>
      <c r="AA11" s="15">
        <f t="shared" ca="1" si="12"/>
        <v>0</v>
      </c>
      <c r="AB11" s="15"/>
      <c r="AC11" s="15" t="str">
        <f t="shared" ca="1" si="13"/>
        <v>NoNo</v>
      </c>
      <c r="AD11" s="15"/>
      <c r="AE11" s="15">
        <f t="shared" ca="1" si="14"/>
        <v>0</v>
      </c>
      <c r="AF11" s="16">
        <f t="shared" ca="1" si="15"/>
        <v>0</v>
      </c>
      <c r="AG11" s="16" t="str">
        <f t="shared" ca="1" si="16"/>
        <v>No_Action</v>
      </c>
      <c r="AH11" s="15"/>
      <c r="AI11" s="15" t="str">
        <f t="shared" ca="1" si="17"/>
        <v>No_Action</v>
      </c>
      <c r="AJ11" s="15">
        <f t="shared" ca="1" si="18"/>
        <v>0</v>
      </c>
      <c r="AK11" s="15">
        <f t="shared" ca="1" si="19"/>
        <v>0</v>
      </c>
    </row>
    <row r="12" spans="1:37" ht="15.75" customHeight="1" x14ac:dyDescent="0.35">
      <c r="A12" s="12" t="s">
        <v>28</v>
      </c>
      <c r="B12" s="13">
        <f ca="1">IFERROR(__xludf.DUMMYFUNCTION("GOOGLEFINANCE(""NSE:""&amp;A12,""PRICE"")"),1798)</f>
        <v>1798</v>
      </c>
      <c r="C12" s="13">
        <f ca="1">IFERROR(__xludf.DUMMYFUNCTION("GOOGLEFINANCE(""NSE:""&amp;A12,""PRICEOPEN"")"),1796)</f>
        <v>1796</v>
      </c>
      <c r="D12" s="13">
        <f ca="1">IFERROR(__xludf.DUMMYFUNCTION("GOOGLEFINANCE(""NSE:""&amp;A12,""HIGH"")"),1812.95)</f>
        <v>1812.95</v>
      </c>
      <c r="E12" s="13">
        <f ca="1">IFERROR(__xludf.DUMMYFUNCTION("GOOGLEFINANCE(""NSE:""&amp;A12,""LOW"")"),1767.05)</f>
        <v>1767.05</v>
      </c>
      <c r="F12" s="13">
        <f ca="1">IFERROR(__xludf.DUMMYFUNCTION("GOOGLEFINANCE(""NSE:""&amp;A12,""closeyest"")"),1794.65)</f>
        <v>1794.65</v>
      </c>
      <c r="G12" s="14">
        <f t="shared" ca="1" si="0"/>
        <v>1.1123470522803114E-3</v>
      </c>
      <c r="H12" s="13">
        <f ca="1">IFERROR(__xludf.DUMMYFUNCTION("GOOGLEFINANCE(""NSE:""&amp;A12,""VOLUME"")"),360534)</f>
        <v>360534</v>
      </c>
      <c r="I12" s="13" t="str">
        <f ca="1">IFERROR(__xludf.DUMMYFUNCTION("AVERAGE(index(GOOGLEFINANCE(""NSE:""&amp;$A12, ""volume"", today()-21, today()-1), , 2))"),"#N/A")</f>
        <v>#N/A</v>
      </c>
      <c r="J12" s="14" t="e">
        <f t="shared" ca="1" si="1"/>
        <v>#VALUE!</v>
      </c>
      <c r="K12" s="13" t="str">
        <f ca="1">IFERROR(__xludf.DUMMYFUNCTION("AVERAGE(index(GOOGLEFINANCE(""NSE:""&amp;$A12, ""close"", today()-6, today()-1), , 2))"),"#N/A")</f>
        <v>#N/A</v>
      </c>
      <c r="L12" s="13" t="str">
        <f ca="1">IFERROR(__xludf.DUMMYFUNCTION("AVERAGE(index(GOOGLEFINANCE(""NSE:""&amp;$A12, ""close"", today()-14, today()-1), , 2))"),"#N/A")</f>
        <v>#N/A</v>
      </c>
      <c r="M12" s="13" t="str">
        <f ca="1">IFERROR(__xludf.DUMMYFUNCTION("AVERAGE(index(GOOGLEFINANCE(""NSE:""&amp;$A12, ""close"", today()-22, today()-1), , 2))"),"#N/A")</f>
        <v>#N/A</v>
      </c>
      <c r="N12" s="13" t="str">
        <f t="shared" ca="1" si="2"/>
        <v>No_Action</v>
      </c>
      <c r="O12" s="13" t="str">
        <f t="shared" ca="1" si="3"/>
        <v>No_Action</v>
      </c>
      <c r="P12" s="13" t="str">
        <f t="shared" ca="1" si="4"/>
        <v>No_Action</v>
      </c>
      <c r="Q12" s="13" t="str">
        <f t="shared" ca="1" si="5"/>
        <v>No_Action</v>
      </c>
      <c r="R12" s="15"/>
      <c r="S12" s="15" t="str">
        <f t="shared" ca="1" si="6"/>
        <v>NoNo</v>
      </c>
      <c r="T12" s="15"/>
      <c r="U12" s="15">
        <f t="shared" ca="1" si="7"/>
        <v>0</v>
      </c>
      <c r="V12" s="15">
        <f t="shared" ca="1" si="8"/>
        <v>0</v>
      </c>
      <c r="W12" s="15" t="str">
        <f t="shared" ca="1" si="9"/>
        <v>No_Action</v>
      </c>
      <c r="X12" s="15"/>
      <c r="Y12" s="15" t="str">
        <f t="shared" ca="1" si="10"/>
        <v>No_Action</v>
      </c>
      <c r="Z12" s="15">
        <f t="shared" ca="1" si="11"/>
        <v>0</v>
      </c>
      <c r="AA12" s="15">
        <f t="shared" ca="1" si="12"/>
        <v>0</v>
      </c>
      <c r="AB12" s="15"/>
      <c r="AC12" s="15" t="str">
        <f t="shared" ca="1" si="13"/>
        <v>NoNo</v>
      </c>
      <c r="AD12" s="15"/>
      <c r="AE12" s="15">
        <f t="shared" ca="1" si="14"/>
        <v>0</v>
      </c>
      <c r="AF12" s="16">
        <f t="shared" ca="1" si="15"/>
        <v>0</v>
      </c>
      <c r="AG12" s="16" t="str">
        <f t="shared" ca="1" si="16"/>
        <v>No_Action</v>
      </c>
      <c r="AH12" s="15"/>
      <c r="AI12" s="15" t="str">
        <f t="shared" ca="1" si="17"/>
        <v>No_Action</v>
      </c>
      <c r="AJ12" s="15">
        <f t="shared" ca="1" si="18"/>
        <v>0</v>
      </c>
      <c r="AK12" s="15">
        <f t="shared" ca="1" si="19"/>
        <v>0</v>
      </c>
    </row>
    <row r="13" spans="1:37" ht="15.75" customHeight="1" x14ac:dyDescent="0.35">
      <c r="A13" s="12" t="s">
        <v>29</v>
      </c>
      <c r="B13" s="13">
        <f ca="1">IFERROR(__xludf.DUMMYFUNCTION("GOOGLEFINANCE(""NSE:""&amp;A13,""PRICE"")"),1207)</f>
        <v>1207</v>
      </c>
      <c r="C13" s="13">
        <f ca="1">IFERROR(__xludf.DUMMYFUNCTION("GOOGLEFINANCE(""NSE:""&amp;A13,""PRICEOPEN"")"),1215)</f>
        <v>1215</v>
      </c>
      <c r="D13" s="13">
        <f ca="1">IFERROR(__xludf.DUMMYFUNCTION("GOOGLEFINANCE(""NSE:""&amp;A13,""HIGH"")"),1227.85)</f>
        <v>1227.8499999999999</v>
      </c>
      <c r="E13" s="13">
        <f ca="1">IFERROR(__xludf.DUMMYFUNCTION("GOOGLEFINANCE(""NSE:""&amp;A13,""LOW"")"),1188)</f>
        <v>1188</v>
      </c>
      <c r="F13" s="13">
        <f ca="1">IFERROR(__xludf.DUMMYFUNCTION("GOOGLEFINANCE(""NSE:""&amp;A13,""closeyest"")"),1216.3)</f>
        <v>1216.3</v>
      </c>
      <c r="G13" s="14">
        <f t="shared" ca="1" si="0"/>
        <v>-6.6280033140016566E-3</v>
      </c>
      <c r="H13" s="13">
        <f ca="1">IFERROR(__xludf.DUMMYFUNCTION("GOOGLEFINANCE(""NSE:""&amp;A13,""VOLUME"")"),312699)</f>
        <v>312699</v>
      </c>
      <c r="I13" s="13" t="str">
        <f ca="1">IFERROR(__xludf.DUMMYFUNCTION("AVERAGE(index(GOOGLEFINANCE(""NSE:""&amp;$A13, ""volume"", today()-21, today()-1), , 2))"),"#N/A")</f>
        <v>#N/A</v>
      </c>
      <c r="J13" s="14" t="e">
        <f t="shared" ca="1" si="1"/>
        <v>#VALUE!</v>
      </c>
      <c r="K13" s="13" t="str">
        <f ca="1">IFERROR(__xludf.DUMMYFUNCTION("AVERAGE(index(GOOGLEFINANCE(""NSE:""&amp;$A13, ""close"", today()-6, today()-1), , 2))"),"#N/A")</f>
        <v>#N/A</v>
      </c>
      <c r="L13" s="13" t="str">
        <f ca="1">IFERROR(__xludf.DUMMYFUNCTION("AVERAGE(index(GOOGLEFINANCE(""NSE:""&amp;$A13, ""close"", today()-14, today()-1), , 2))"),"#N/A")</f>
        <v>#N/A</v>
      </c>
      <c r="M13" s="13" t="str">
        <f ca="1">IFERROR(__xludf.DUMMYFUNCTION("AVERAGE(index(GOOGLEFINANCE(""NSE:""&amp;$A13, ""close"", today()-22, today()-1), , 2))"),"#N/A")</f>
        <v>#N/A</v>
      </c>
      <c r="N13" s="13" t="str">
        <f t="shared" ca="1" si="2"/>
        <v>No_Action</v>
      </c>
      <c r="O13" s="13" t="str">
        <f t="shared" ca="1" si="3"/>
        <v>No_Action</v>
      </c>
      <c r="P13" s="13" t="str">
        <f t="shared" ca="1" si="4"/>
        <v>No_Action</v>
      </c>
      <c r="Q13" s="13" t="str">
        <f t="shared" ca="1" si="5"/>
        <v>No_Action</v>
      </c>
      <c r="R13" s="15"/>
      <c r="S13" s="15" t="str">
        <f t="shared" ca="1" si="6"/>
        <v>NoNo</v>
      </c>
      <c r="T13" s="15"/>
      <c r="U13" s="15">
        <f t="shared" ca="1" si="7"/>
        <v>0</v>
      </c>
      <c r="V13" s="15">
        <f t="shared" ca="1" si="8"/>
        <v>0</v>
      </c>
      <c r="W13" s="15" t="str">
        <f t="shared" ca="1" si="9"/>
        <v>No_Action</v>
      </c>
      <c r="X13" s="15"/>
      <c r="Y13" s="15" t="str">
        <f t="shared" ca="1" si="10"/>
        <v>No_Action</v>
      </c>
      <c r="Z13" s="15">
        <f t="shared" ca="1" si="11"/>
        <v>0</v>
      </c>
      <c r="AA13" s="15">
        <f t="shared" ca="1" si="12"/>
        <v>0</v>
      </c>
      <c r="AB13" s="15"/>
      <c r="AC13" s="15" t="str">
        <f t="shared" ca="1" si="13"/>
        <v>NoNo</v>
      </c>
      <c r="AD13" s="15"/>
      <c r="AE13" s="15">
        <f t="shared" ca="1" si="14"/>
        <v>0</v>
      </c>
      <c r="AF13" s="16">
        <f t="shared" ca="1" si="15"/>
        <v>0</v>
      </c>
      <c r="AG13" s="16" t="str">
        <f t="shared" ca="1" si="16"/>
        <v>No_Action</v>
      </c>
      <c r="AH13" s="15"/>
      <c r="AI13" s="15" t="str">
        <f t="shared" ca="1" si="17"/>
        <v>No_Action</v>
      </c>
      <c r="AJ13" s="15">
        <f t="shared" ca="1" si="18"/>
        <v>0</v>
      </c>
      <c r="AK13" s="15">
        <f t="shared" ca="1" si="19"/>
        <v>0</v>
      </c>
    </row>
    <row r="14" spans="1:37" ht="15.75" customHeight="1" x14ac:dyDescent="0.35">
      <c r="A14" s="12" t="s">
        <v>30</v>
      </c>
      <c r="B14" s="13">
        <f ca="1">IFERROR(__xludf.DUMMYFUNCTION("GOOGLEFINANCE(""NSE:""&amp;A14,""PRICE"")"),3468.25)</f>
        <v>3468.25</v>
      </c>
      <c r="C14" s="13">
        <f ca="1">IFERROR(__xludf.DUMMYFUNCTION("GOOGLEFINANCE(""NSE:""&amp;A14,""PRICEOPEN"")"),3431.05)</f>
        <v>3431.05</v>
      </c>
      <c r="D14" s="13">
        <f ca="1">IFERROR(__xludf.DUMMYFUNCTION("GOOGLEFINANCE(""NSE:""&amp;A14,""HIGH"")"),3472.15)</f>
        <v>3472.15</v>
      </c>
      <c r="E14" s="13">
        <f ca="1">IFERROR(__xludf.DUMMYFUNCTION("GOOGLEFINANCE(""NSE:""&amp;A14,""LOW"")"),3431.05)</f>
        <v>3431.05</v>
      </c>
      <c r="F14" s="13">
        <f ca="1">IFERROR(__xludf.DUMMYFUNCTION("GOOGLEFINANCE(""NSE:""&amp;A14,""closeyest"")"),3427.3)</f>
        <v>3427.3</v>
      </c>
      <c r="G14" s="14">
        <f t="shared" ca="1" si="0"/>
        <v>1.0725870395732666E-2</v>
      </c>
      <c r="H14" s="13">
        <f ca="1">IFERROR(__xludf.DUMMYFUNCTION("GOOGLEFINANCE(""NSE:""&amp;A14,""VOLUME"")"),155533)</f>
        <v>155533</v>
      </c>
      <c r="I14" s="13" t="str">
        <f ca="1">IFERROR(__xludf.DUMMYFUNCTION("AVERAGE(index(GOOGLEFINANCE(""NSE:""&amp;$A14, ""volume"", today()-21, today()-1), , 2))"),"#N/A")</f>
        <v>#N/A</v>
      </c>
      <c r="J14" s="14" t="e">
        <f t="shared" ca="1" si="1"/>
        <v>#VALUE!</v>
      </c>
      <c r="K14" s="13" t="str">
        <f ca="1">IFERROR(__xludf.DUMMYFUNCTION("AVERAGE(index(GOOGLEFINANCE(""NSE:""&amp;$A14, ""close"", today()-6, today()-1), , 2))"),"#N/A")</f>
        <v>#N/A</v>
      </c>
      <c r="L14" s="13" t="str">
        <f ca="1">IFERROR(__xludf.DUMMYFUNCTION("AVERAGE(index(GOOGLEFINANCE(""NSE:""&amp;$A14, ""close"", today()-14, today()-1), , 2))"),"#N/A")</f>
        <v>#N/A</v>
      </c>
      <c r="M14" s="13" t="str">
        <f ca="1">IFERROR(__xludf.DUMMYFUNCTION("AVERAGE(index(GOOGLEFINANCE(""NSE:""&amp;$A14, ""close"", today()-22, today()-1), , 2))"),"#N/A")</f>
        <v>#N/A</v>
      </c>
      <c r="N14" s="13" t="str">
        <f t="shared" ca="1" si="2"/>
        <v>No_Action</v>
      </c>
      <c r="O14" s="13" t="str">
        <f t="shared" ca="1" si="3"/>
        <v>No_Action</v>
      </c>
      <c r="P14" s="13" t="str">
        <f t="shared" ca="1" si="4"/>
        <v>No_Action</v>
      </c>
      <c r="Q14" s="13" t="str">
        <f t="shared" ca="1" si="5"/>
        <v>No_Action</v>
      </c>
      <c r="R14" s="15"/>
      <c r="S14" s="15" t="str">
        <f t="shared" ca="1" si="6"/>
        <v>NoNo</v>
      </c>
      <c r="T14" s="15"/>
      <c r="U14" s="15">
        <f t="shared" ca="1" si="7"/>
        <v>0</v>
      </c>
      <c r="V14" s="15">
        <f t="shared" ca="1" si="8"/>
        <v>0</v>
      </c>
      <c r="W14" s="15" t="str">
        <f t="shared" ca="1" si="9"/>
        <v>No_Action</v>
      </c>
      <c r="X14" s="15"/>
      <c r="Y14" s="15" t="str">
        <f t="shared" ca="1" si="10"/>
        <v>No_Action</v>
      </c>
      <c r="Z14" s="15">
        <f t="shared" ca="1" si="11"/>
        <v>0</v>
      </c>
      <c r="AA14" s="15">
        <f t="shared" ca="1" si="12"/>
        <v>0</v>
      </c>
      <c r="AB14" s="15"/>
      <c r="AC14" s="15" t="str">
        <f t="shared" ca="1" si="13"/>
        <v>NoNo</v>
      </c>
      <c r="AD14" s="15"/>
      <c r="AE14" s="15">
        <f t="shared" ca="1" si="14"/>
        <v>0</v>
      </c>
      <c r="AF14" s="16">
        <f t="shared" ca="1" si="15"/>
        <v>0</v>
      </c>
      <c r="AG14" s="16" t="str">
        <f t="shared" ca="1" si="16"/>
        <v>No_Action</v>
      </c>
      <c r="AH14" s="15"/>
      <c r="AI14" s="15" t="str">
        <f t="shared" ca="1" si="17"/>
        <v>No_Action</v>
      </c>
      <c r="AJ14" s="15">
        <f t="shared" ca="1" si="18"/>
        <v>0</v>
      </c>
      <c r="AK14" s="15">
        <f t="shared" ca="1" si="19"/>
        <v>0</v>
      </c>
    </row>
    <row r="15" spans="1:37" ht="15.75" customHeight="1" x14ac:dyDescent="0.35">
      <c r="A15" s="12" t="s">
        <v>31</v>
      </c>
      <c r="B15" s="13">
        <f ca="1">IFERROR(__xludf.DUMMYFUNCTION("GOOGLEFINANCE(""NSE:""&amp;A15,""PRICE"")"),2840)</f>
        <v>2840</v>
      </c>
      <c r="C15" s="13">
        <f ca="1">IFERROR(__xludf.DUMMYFUNCTION("GOOGLEFINANCE(""NSE:""&amp;A15,""PRICEOPEN"")"),2879.8)</f>
        <v>2879.8</v>
      </c>
      <c r="D15" s="13">
        <f ca="1">IFERROR(__xludf.DUMMYFUNCTION("GOOGLEFINANCE(""NSE:""&amp;A15,""HIGH"")"),2889)</f>
        <v>2889</v>
      </c>
      <c r="E15" s="13">
        <f ca="1">IFERROR(__xludf.DUMMYFUNCTION("GOOGLEFINANCE(""NSE:""&amp;A15,""LOW"")"),2820)</f>
        <v>2820</v>
      </c>
      <c r="F15" s="13">
        <f ca="1">IFERROR(__xludf.DUMMYFUNCTION("GOOGLEFINANCE(""NSE:""&amp;A15,""closeyest"")"),2864.8)</f>
        <v>2864.8</v>
      </c>
      <c r="G15" s="14">
        <f t="shared" ca="1" si="0"/>
        <v>-1.4014084507042317E-2</v>
      </c>
      <c r="H15" s="13">
        <f ca="1">IFERROR(__xludf.DUMMYFUNCTION("GOOGLEFINANCE(""NSE:""&amp;A15,""VOLUME"")"),162803)</f>
        <v>162803</v>
      </c>
      <c r="I15" s="13" t="str">
        <f ca="1">IFERROR(__xludf.DUMMYFUNCTION("AVERAGE(index(GOOGLEFINANCE(""NSE:""&amp;$A15, ""volume"", today()-21, today()-1), , 2))"),"#N/A")</f>
        <v>#N/A</v>
      </c>
      <c r="J15" s="14" t="e">
        <f t="shared" ca="1" si="1"/>
        <v>#VALUE!</v>
      </c>
      <c r="K15" s="13" t="str">
        <f ca="1">IFERROR(__xludf.DUMMYFUNCTION("AVERAGE(index(GOOGLEFINANCE(""NSE:""&amp;$A15, ""close"", today()-6, today()-1), , 2))"),"#N/A")</f>
        <v>#N/A</v>
      </c>
      <c r="L15" s="13" t="str">
        <f ca="1">IFERROR(__xludf.DUMMYFUNCTION("AVERAGE(index(GOOGLEFINANCE(""NSE:""&amp;$A15, ""close"", today()-14, today()-1), , 2))"),"#N/A")</f>
        <v>#N/A</v>
      </c>
      <c r="M15" s="13" t="str">
        <f ca="1">IFERROR(__xludf.DUMMYFUNCTION("AVERAGE(index(GOOGLEFINANCE(""NSE:""&amp;$A15, ""close"", today()-22, today()-1), , 2))"),"#N/A")</f>
        <v>#N/A</v>
      </c>
      <c r="N15" s="13" t="str">
        <f t="shared" ca="1" si="2"/>
        <v>No_Action</v>
      </c>
      <c r="O15" s="13" t="str">
        <f t="shared" ca="1" si="3"/>
        <v>No_Action</v>
      </c>
      <c r="P15" s="13" t="str">
        <f t="shared" ca="1" si="4"/>
        <v>No_Action</v>
      </c>
      <c r="Q15" s="13" t="str">
        <f t="shared" ca="1" si="5"/>
        <v>No_Action</v>
      </c>
      <c r="R15" s="15"/>
      <c r="S15" s="15" t="str">
        <f t="shared" ca="1" si="6"/>
        <v>NoNo</v>
      </c>
      <c r="T15" s="15"/>
      <c r="U15" s="15">
        <f t="shared" ca="1" si="7"/>
        <v>0</v>
      </c>
      <c r="V15" s="15">
        <f t="shared" ca="1" si="8"/>
        <v>0</v>
      </c>
      <c r="W15" s="15" t="str">
        <f t="shared" ca="1" si="9"/>
        <v>No_Action</v>
      </c>
      <c r="X15" s="15"/>
      <c r="Y15" s="15" t="str">
        <f t="shared" ca="1" si="10"/>
        <v>No_Action</v>
      </c>
      <c r="Z15" s="15">
        <f t="shared" ca="1" si="11"/>
        <v>0</v>
      </c>
      <c r="AA15" s="15">
        <f t="shared" ca="1" si="12"/>
        <v>0</v>
      </c>
      <c r="AB15" s="15"/>
      <c r="AC15" s="15" t="str">
        <f t="shared" ca="1" si="13"/>
        <v>NoNo</v>
      </c>
      <c r="AD15" s="15"/>
      <c r="AE15" s="15">
        <f t="shared" ca="1" si="14"/>
        <v>0</v>
      </c>
      <c r="AF15" s="16">
        <f t="shared" ca="1" si="15"/>
        <v>0</v>
      </c>
      <c r="AG15" s="16" t="str">
        <f t="shared" ca="1" si="16"/>
        <v>No_Action</v>
      </c>
      <c r="AH15" s="15"/>
      <c r="AI15" s="15" t="str">
        <f t="shared" ca="1" si="17"/>
        <v>No_Action</v>
      </c>
      <c r="AJ15" s="15">
        <f t="shared" ca="1" si="18"/>
        <v>0</v>
      </c>
      <c r="AK15" s="15">
        <f t="shared" ca="1" si="19"/>
        <v>0</v>
      </c>
    </row>
    <row r="16" spans="1:37" ht="15.75" customHeight="1" x14ac:dyDescent="0.35">
      <c r="A16" s="12" t="s">
        <v>32</v>
      </c>
      <c r="B16" s="13">
        <f ca="1">IFERROR(__xludf.DUMMYFUNCTION("GOOGLEFINANCE(""NSE:""&amp;A16,""PRICE"")"),1121.05)</f>
        <v>1121.05</v>
      </c>
      <c r="C16" s="13">
        <f ca="1">IFERROR(__xludf.DUMMYFUNCTION("GOOGLEFINANCE(""NSE:""&amp;A16,""PRICEOPEN"")"),1129.25)</f>
        <v>1129.25</v>
      </c>
      <c r="D16" s="13">
        <f ca="1">IFERROR(__xludf.DUMMYFUNCTION("GOOGLEFINANCE(""NSE:""&amp;A16,""HIGH"")"),1135.95)</f>
        <v>1135.95</v>
      </c>
      <c r="E16" s="13">
        <f ca="1">IFERROR(__xludf.DUMMYFUNCTION("GOOGLEFINANCE(""NSE:""&amp;A16,""LOW"")"),1106.35)</f>
        <v>1106.3499999999999</v>
      </c>
      <c r="F16" s="13">
        <f ca="1">IFERROR(__xludf.DUMMYFUNCTION("GOOGLEFINANCE(""NSE:""&amp;A16,""closeyest"")"),1136.5)</f>
        <v>1136.5</v>
      </c>
      <c r="G16" s="14">
        <f t="shared" ca="1" si="0"/>
        <v>-7.3145711609652071E-3</v>
      </c>
      <c r="H16" s="13">
        <f ca="1">IFERROR(__xludf.DUMMYFUNCTION("GOOGLEFINANCE(""NSE:""&amp;A16,""VOLUME"")"),59293)</f>
        <v>59293</v>
      </c>
      <c r="I16" s="13" t="str">
        <f ca="1">IFERROR(__xludf.DUMMYFUNCTION("AVERAGE(index(GOOGLEFINANCE(""NSE:""&amp;$A16, ""volume"", today()-21, today()-1), , 2))"),"#N/A")</f>
        <v>#N/A</v>
      </c>
      <c r="J16" s="14" t="e">
        <f t="shared" ca="1" si="1"/>
        <v>#VALUE!</v>
      </c>
      <c r="K16" s="13" t="str">
        <f ca="1">IFERROR(__xludf.DUMMYFUNCTION("AVERAGE(index(GOOGLEFINANCE(""NSE:""&amp;$A16, ""close"", today()-6, today()-1), , 2))"),"#N/A")</f>
        <v>#N/A</v>
      </c>
      <c r="L16" s="13" t="str">
        <f ca="1">IFERROR(__xludf.DUMMYFUNCTION("AVERAGE(index(GOOGLEFINANCE(""NSE:""&amp;$A16, ""close"", today()-14, today()-1), , 2))"),"#N/A")</f>
        <v>#N/A</v>
      </c>
      <c r="M16" s="13" t="str">
        <f ca="1">IFERROR(__xludf.DUMMYFUNCTION("AVERAGE(index(GOOGLEFINANCE(""NSE:""&amp;$A16, ""close"", today()-22, today()-1), , 2))"),"#N/A")</f>
        <v>#N/A</v>
      </c>
      <c r="N16" s="13" t="str">
        <f t="shared" ca="1" si="2"/>
        <v>No_Action</v>
      </c>
      <c r="O16" s="13" t="str">
        <f t="shared" ca="1" si="3"/>
        <v>No_Action</v>
      </c>
      <c r="P16" s="13" t="str">
        <f t="shared" ca="1" si="4"/>
        <v>No_Action</v>
      </c>
      <c r="Q16" s="13" t="str">
        <f t="shared" ca="1" si="5"/>
        <v>No_Action</v>
      </c>
      <c r="R16" s="15"/>
      <c r="S16" s="15" t="str">
        <f t="shared" ca="1" si="6"/>
        <v>NoNo</v>
      </c>
      <c r="T16" s="15"/>
      <c r="U16" s="15">
        <f t="shared" ca="1" si="7"/>
        <v>0</v>
      </c>
      <c r="V16" s="15">
        <f t="shared" ca="1" si="8"/>
        <v>0</v>
      </c>
      <c r="W16" s="15" t="str">
        <f t="shared" ca="1" si="9"/>
        <v>No_Action</v>
      </c>
      <c r="X16" s="15"/>
      <c r="Y16" s="15" t="str">
        <f t="shared" ca="1" si="10"/>
        <v>No_Action</v>
      </c>
      <c r="Z16" s="15">
        <f t="shared" ca="1" si="11"/>
        <v>0</v>
      </c>
      <c r="AA16" s="15">
        <f t="shared" ca="1" si="12"/>
        <v>0</v>
      </c>
      <c r="AB16" s="15"/>
      <c r="AC16" s="15" t="str">
        <f t="shared" ca="1" si="13"/>
        <v>NoNo</v>
      </c>
      <c r="AD16" s="15"/>
      <c r="AE16" s="15">
        <f t="shared" ca="1" si="14"/>
        <v>0</v>
      </c>
      <c r="AF16" s="16">
        <f t="shared" ca="1" si="15"/>
        <v>0</v>
      </c>
      <c r="AG16" s="16" t="str">
        <f t="shared" ca="1" si="16"/>
        <v>No_Action</v>
      </c>
      <c r="AH16" s="15"/>
      <c r="AI16" s="15" t="str">
        <f t="shared" ca="1" si="17"/>
        <v>No_Action</v>
      </c>
      <c r="AJ16" s="15">
        <f t="shared" ca="1" si="18"/>
        <v>0</v>
      </c>
      <c r="AK16" s="15">
        <f t="shared" ca="1" si="19"/>
        <v>0</v>
      </c>
    </row>
    <row r="17" spans="1:37" ht="15.75" customHeight="1" x14ac:dyDescent="0.35">
      <c r="A17" s="12" t="s">
        <v>33</v>
      </c>
      <c r="B17" s="13">
        <f ca="1">IFERROR(__xludf.DUMMYFUNCTION("GOOGLEFINANCE(""NSE:""&amp;A17,""PRICE"")"),3590)</f>
        <v>3590</v>
      </c>
      <c r="C17" s="13">
        <f ca="1">IFERROR(__xludf.DUMMYFUNCTION("GOOGLEFINANCE(""NSE:""&amp;A17,""PRICEOPEN"")"),3718.7)</f>
        <v>3718.7</v>
      </c>
      <c r="D17" s="13">
        <f ca="1">IFERROR(__xludf.DUMMYFUNCTION("GOOGLEFINANCE(""NSE:""&amp;A17,""HIGH"")"),3718.7)</f>
        <v>3718.7</v>
      </c>
      <c r="E17" s="13">
        <f ca="1">IFERROR(__xludf.DUMMYFUNCTION("GOOGLEFINANCE(""NSE:""&amp;A17,""LOW"")"),3580)</f>
        <v>3580</v>
      </c>
      <c r="F17" s="13">
        <f ca="1">IFERROR(__xludf.DUMMYFUNCTION("GOOGLEFINANCE(""NSE:""&amp;A17,""closeyest"")"),3674.55)</f>
        <v>3674.55</v>
      </c>
      <c r="G17" s="14">
        <f t="shared" ca="1" si="0"/>
        <v>-3.5849582172701899E-2</v>
      </c>
      <c r="H17" s="13">
        <f ca="1">IFERROR(__xludf.DUMMYFUNCTION("GOOGLEFINANCE(""NSE:""&amp;A17,""VOLUME"")"),15452)</f>
        <v>15452</v>
      </c>
      <c r="I17" s="13" t="str">
        <f ca="1">IFERROR(__xludf.DUMMYFUNCTION("AVERAGE(index(GOOGLEFINANCE(""NSE:""&amp;$A17, ""volume"", today()-21, today()-1), , 2))"),"#N/A")</f>
        <v>#N/A</v>
      </c>
      <c r="J17" s="14" t="e">
        <f t="shared" ca="1" si="1"/>
        <v>#VALUE!</v>
      </c>
      <c r="K17" s="13" t="str">
        <f ca="1">IFERROR(__xludf.DUMMYFUNCTION("AVERAGE(index(GOOGLEFINANCE(""NSE:""&amp;$A17, ""close"", today()-6, today()-1), , 2))"),"#N/A")</f>
        <v>#N/A</v>
      </c>
      <c r="L17" s="13" t="str">
        <f ca="1">IFERROR(__xludf.DUMMYFUNCTION("AVERAGE(index(GOOGLEFINANCE(""NSE:""&amp;$A17, ""close"", today()-14, today()-1), , 2))"),"#N/A")</f>
        <v>#N/A</v>
      </c>
      <c r="M17" s="13" t="str">
        <f ca="1">IFERROR(__xludf.DUMMYFUNCTION("AVERAGE(index(GOOGLEFINANCE(""NSE:""&amp;$A17, ""close"", today()-22, today()-1), , 2))"),"#N/A")</f>
        <v>#N/A</v>
      </c>
      <c r="N17" s="13" t="str">
        <f t="shared" ca="1" si="2"/>
        <v>No_Action</v>
      </c>
      <c r="O17" s="13" t="str">
        <f t="shared" ca="1" si="3"/>
        <v>No_Action</v>
      </c>
      <c r="P17" s="13" t="str">
        <f t="shared" ca="1" si="4"/>
        <v>No_Action</v>
      </c>
      <c r="Q17" s="13" t="str">
        <f t="shared" ca="1" si="5"/>
        <v>No_Action</v>
      </c>
      <c r="R17" s="15"/>
      <c r="S17" s="15" t="str">
        <f t="shared" ca="1" si="6"/>
        <v>NoNo</v>
      </c>
      <c r="T17" s="15"/>
      <c r="U17" s="15">
        <f t="shared" ca="1" si="7"/>
        <v>0</v>
      </c>
      <c r="V17" s="15">
        <f t="shared" ca="1" si="8"/>
        <v>0</v>
      </c>
      <c r="W17" s="15" t="str">
        <f t="shared" ca="1" si="9"/>
        <v>No_Action</v>
      </c>
      <c r="X17" s="15"/>
      <c r="Y17" s="15" t="str">
        <f t="shared" ca="1" si="10"/>
        <v>No_Action</v>
      </c>
      <c r="Z17" s="15">
        <f t="shared" ca="1" si="11"/>
        <v>0</v>
      </c>
      <c r="AA17" s="15">
        <f t="shared" ca="1" si="12"/>
        <v>0</v>
      </c>
      <c r="AB17" s="15"/>
      <c r="AC17" s="15" t="str">
        <f t="shared" ca="1" si="13"/>
        <v>NoNo</v>
      </c>
      <c r="AD17" s="15"/>
      <c r="AE17" s="15">
        <f t="shared" ca="1" si="14"/>
        <v>0</v>
      </c>
      <c r="AF17" s="16">
        <f t="shared" ca="1" si="15"/>
        <v>0</v>
      </c>
      <c r="AG17" s="16" t="str">
        <f t="shared" ca="1" si="16"/>
        <v>No_Action</v>
      </c>
      <c r="AH17" s="15"/>
      <c r="AI17" s="15" t="str">
        <f t="shared" ca="1" si="17"/>
        <v>No_Action</v>
      </c>
      <c r="AJ17" s="15">
        <f t="shared" ca="1" si="18"/>
        <v>0</v>
      </c>
      <c r="AK17" s="15">
        <f t="shared" ca="1" si="19"/>
        <v>0</v>
      </c>
    </row>
    <row r="18" spans="1:37" ht="15.75" customHeight="1" x14ac:dyDescent="0.35">
      <c r="A18" s="12" t="s">
        <v>34</v>
      </c>
      <c r="B18" s="13">
        <f ca="1">IFERROR(__xludf.DUMMYFUNCTION("GOOGLEFINANCE(""NSE:""&amp;A18,""PRICE"")"),138.18)</f>
        <v>138.18</v>
      </c>
      <c r="C18" s="13">
        <f ca="1">IFERROR(__xludf.DUMMYFUNCTION("GOOGLEFINANCE(""NSE:""&amp;A18,""PRICEOPEN"")"),137.35)</f>
        <v>137.35</v>
      </c>
      <c r="D18" s="13">
        <f ca="1">IFERROR(__xludf.DUMMYFUNCTION("GOOGLEFINANCE(""NSE:""&amp;A18,""HIGH"")"),140.2)</f>
        <v>140.19999999999999</v>
      </c>
      <c r="E18" s="13">
        <f ca="1">IFERROR(__xludf.DUMMYFUNCTION("GOOGLEFINANCE(""NSE:""&amp;A18,""LOW"")"),137.35)</f>
        <v>137.35</v>
      </c>
      <c r="F18" s="13">
        <f ca="1">IFERROR(__xludf.DUMMYFUNCTION("GOOGLEFINANCE(""NSE:""&amp;A18,""closeyest"")"),137.35)</f>
        <v>137.35</v>
      </c>
      <c r="G18" s="14">
        <f t="shared" ca="1" si="0"/>
        <v>6.0066579823419633E-3</v>
      </c>
      <c r="H18" s="13">
        <f ca="1">IFERROR(__xludf.DUMMYFUNCTION("GOOGLEFINANCE(""NSE:""&amp;A18,""VOLUME"")"),487731)</f>
        <v>487731</v>
      </c>
      <c r="I18" s="13" t="str">
        <f ca="1">IFERROR(__xludf.DUMMYFUNCTION("AVERAGE(index(GOOGLEFINANCE(""NSE:""&amp;$A18, ""volume"", today()-21, today()-1), , 2))"),"#N/A")</f>
        <v>#N/A</v>
      </c>
      <c r="J18" s="14" t="e">
        <f t="shared" ca="1" si="1"/>
        <v>#VALUE!</v>
      </c>
      <c r="K18" s="13" t="str">
        <f ca="1">IFERROR(__xludf.DUMMYFUNCTION("AVERAGE(index(GOOGLEFINANCE(""NSE:""&amp;$A18, ""close"", today()-6, today()-1), , 2))"),"#N/A")</f>
        <v>#N/A</v>
      </c>
      <c r="L18" s="13" t="str">
        <f ca="1">IFERROR(__xludf.DUMMYFUNCTION("AVERAGE(index(GOOGLEFINANCE(""NSE:""&amp;$A18, ""close"", today()-14, today()-1), , 2))"),"#N/A")</f>
        <v>#N/A</v>
      </c>
      <c r="M18" s="13" t="str">
        <f ca="1">IFERROR(__xludf.DUMMYFUNCTION("AVERAGE(index(GOOGLEFINANCE(""NSE:""&amp;$A18, ""close"", today()-22, today()-1), , 2))"),"#N/A")</f>
        <v>#N/A</v>
      </c>
      <c r="N18" s="13" t="str">
        <f t="shared" ca="1" si="2"/>
        <v>No_Action</v>
      </c>
      <c r="O18" s="13" t="str">
        <f t="shared" ca="1" si="3"/>
        <v>No_Action</v>
      </c>
      <c r="P18" s="13" t="str">
        <f t="shared" ca="1" si="4"/>
        <v>No_Action</v>
      </c>
      <c r="Q18" s="13" t="str">
        <f t="shared" ca="1" si="5"/>
        <v>No_Action</v>
      </c>
      <c r="R18" s="15"/>
      <c r="S18" s="15" t="str">
        <f t="shared" ca="1" si="6"/>
        <v>NoNo</v>
      </c>
      <c r="T18" s="15"/>
      <c r="U18" s="15">
        <f t="shared" ca="1" si="7"/>
        <v>0</v>
      </c>
      <c r="V18" s="15">
        <f t="shared" ca="1" si="8"/>
        <v>0</v>
      </c>
      <c r="W18" s="15" t="str">
        <f t="shared" ca="1" si="9"/>
        <v>No_Action</v>
      </c>
      <c r="X18" s="15"/>
      <c r="Y18" s="15" t="str">
        <f t="shared" ca="1" si="10"/>
        <v>No_Action</v>
      </c>
      <c r="Z18" s="15">
        <f t="shared" ca="1" si="11"/>
        <v>0</v>
      </c>
      <c r="AA18" s="15">
        <f t="shared" ca="1" si="12"/>
        <v>0</v>
      </c>
      <c r="AB18" s="15"/>
      <c r="AC18" s="15" t="str">
        <f t="shared" ca="1" si="13"/>
        <v>NoNo</v>
      </c>
      <c r="AD18" s="15"/>
      <c r="AE18" s="15">
        <f t="shared" ca="1" si="14"/>
        <v>0</v>
      </c>
      <c r="AF18" s="16">
        <f t="shared" ca="1" si="15"/>
        <v>0</v>
      </c>
      <c r="AG18" s="16" t="str">
        <f t="shared" ca="1" si="16"/>
        <v>No_Action</v>
      </c>
      <c r="AH18" s="15"/>
      <c r="AI18" s="15" t="str">
        <f t="shared" ca="1" si="17"/>
        <v>No_Action</v>
      </c>
      <c r="AJ18" s="15">
        <f t="shared" ca="1" si="18"/>
        <v>0</v>
      </c>
      <c r="AK18" s="15">
        <f t="shared" ca="1" si="19"/>
        <v>0</v>
      </c>
    </row>
    <row r="19" spans="1:37" ht="15.75" customHeight="1" x14ac:dyDescent="0.35">
      <c r="A19" s="12" t="s">
        <v>35</v>
      </c>
      <c r="B19" s="13">
        <f ca="1">IFERROR(__xludf.DUMMYFUNCTION("GOOGLEFINANCE(""NSE:""&amp;A19,""PRICE"")"),5495)</f>
        <v>5495</v>
      </c>
      <c r="C19" s="13">
        <f ca="1">IFERROR(__xludf.DUMMYFUNCTION("GOOGLEFINANCE(""NSE:""&amp;A19,""PRICEOPEN"")"),5532.95)</f>
        <v>5532.95</v>
      </c>
      <c r="D19" s="13">
        <f ca="1">IFERROR(__xludf.DUMMYFUNCTION("GOOGLEFINANCE(""NSE:""&amp;A19,""HIGH"")"),5700)</f>
        <v>5700</v>
      </c>
      <c r="E19" s="13">
        <f ca="1">IFERROR(__xludf.DUMMYFUNCTION("GOOGLEFINANCE(""NSE:""&amp;A19,""LOW"")"),5461.1)</f>
        <v>5461.1</v>
      </c>
      <c r="F19" s="13">
        <f ca="1">IFERROR(__xludf.DUMMYFUNCTION("GOOGLEFINANCE(""NSE:""&amp;A19,""closeyest"")"),5505.4)</f>
        <v>5505.4</v>
      </c>
      <c r="G19" s="14">
        <f t="shared" ca="1" si="0"/>
        <v>-6.9062784349408221E-3</v>
      </c>
      <c r="H19" s="13">
        <f ca="1">IFERROR(__xludf.DUMMYFUNCTION("GOOGLEFINANCE(""NSE:""&amp;A19,""VOLUME"")"),113570)</f>
        <v>113570</v>
      </c>
      <c r="I19" s="13" t="str">
        <f ca="1">IFERROR(__xludf.DUMMYFUNCTION("AVERAGE(index(GOOGLEFINANCE(""NSE:""&amp;$A19, ""volume"", today()-21, today()-1), , 2))"),"#N/A")</f>
        <v>#N/A</v>
      </c>
      <c r="J19" s="14" t="e">
        <f t="shared" ca="1" si="1"/>
        <v>#VALUE!</v>
      </c>
      <c r="K19" s="13" t="str">
        <f ca="1">IFERROR(__xludf.DUMMYFUNCTION("AVERAGE(index(GOOGLEFINANCE(""NSE:""&amp;$A19, ""close"", today()-6, today()-1), , 2))"),"#N/A")</f>
        <v>#N/A</v>
      </c>
      <c r="L19" s="13" t="str">
        <f ca="1">IFERROR(__xludf.DUMMYFUNCTION("AVERAGE(index(GOOGLEFINANCE(""NSE:""&amp;$A19, ""close"", today()-14, today()-1), , 2))"),"#N/A")</f>
        <v>#N/A</v>
      </c>
      <c r="M19" s="13" t="str">
        <f ca="1">IFERROR(__xludf.DUMMYFUNCTION("AVERAGE(index(GOOGLEFINANCE(""NSE:""&amp;$A19, ""close"", today()-22, today()-1), , 2))"),"#N/A")</f>
        <v>#N/A</v>
      </c>
      <c r="N19" s="13" t="str">
        <f t="shared" ca="1" si="2"/>
        <v>No_Action</v>
      </c>
      <c r="O19" s="13" t="str">
        <f t="shared" ca="1" si="3"/>
        <v>No_Action</v>
      </c>
      <c r="P19" s="13" t="str">
        <f t="shared" ca="1" si="4"/>
        <v>No_Action</v>
      </c>
      <c r="Q19" s="13" t="str">
        <f t="shared" ca="1" si="5"/>
        <v>No_Action</v>
      </c>
      <c r="R19" s="15"/>
      <c r="S19" s="15" t="str">
        <f t="shared" ca="1" si="6"/>
        <v>NoNo</v>
      </c>
      <c r="T19" s="15"/>
      <c r="U19" s="15">
        <f t="shared" ca="1" si="7"/>
        <v>0</v>
      </c>
      <c r="V19" s="15">
        <f t="shared" ca="1" si="8"/>
        <v>0</v>
      </c>
      <c r="W19" s="15" t="str">
        <f t="shared" ca="1" si="9"/>
        <v>No_Action</v>
      </c>
      <c r="X19" s="15"/>
      <c r="Y19" s="15" t="str">
        <f t="shared" ca="1" si="10"/>
        <v>No_Action</v>
      </c>
      <c r="Z19" s="15">
        <f t="shared" ca="1" si="11"/>
        <v>0</v>
      </c>
      <c r="AA19" s="15">
        <f t="shared" ca="1" si="12"/>
        <v>0</v>
      </c>
      <c r="AB19" s="15"/>
      <c r="AC19" s="15" t="str">
        <f t="shared" ca="1" si="13"/>
        <v>NoNo</v>
      </c>
      <c r="AD19" s="15"/>
      <c r="AE19" s="15">
        <f t="shared" ca="1" si="14"/>
        <v>0</v>
      </c>
      <c r="AF19" s="16">
        <f t="shared" ca="1" si="15"/>
        <v>0</v>
      </c>
      <c r="AG19" s="16" t="str">
        <f t="shared" ca="1" si="16"/>
        <v>No_Action</v>
      </c>
      <c r="AH19" s="15"/>
      <c r="AI19" s="15" t="str">
        <f t="shared" ca="1" si="17"/>
        <v>No_Action</v>
      </c>
      <c r="AJ19" s="15">
        <f t="shared" ca="1" si="18"/>
        <v>0</v>
      </c>
      <c r="AK19" s="15">
        <f t="shared" ca="1" si="19"/>
        <v>0</v>
      </c>
    </row>
    <row r="20" spans="1:37" ht="15.75" customHeight="1" x14ac:dyDescent="0.35">
      <c r="A20" s="12" t="s">
        <v>36</v>
      </c>
      <c r="B20" s="13">
        <f ca="1">IFERROR(__xludf.DUMMYFUNCTION("GOOGLEFINANCE(""NSE:""&amp;A20,""PRICE"")"),1321)</f>
        <v>1321</v>
      </c>
      <c r="C20" s="13">
        <f ca="1">IFERROR(__xludf.DUMMYFUNCTION("GOOGLEFINANCE(""NSE:""&amp;A20,""PRICEOPEN"")"),1333)</f>
        <v>1333</v>
      </c>
      <c r="D20" s="13">
        <f ca="1">IFERROR(__xludf.DUMMYFUNCTION("GOOGLEFINANCE(""NSE:""&amp;A20,""HIGH"")"),1360)</f>
        <v>1360</v>
      </c>
      <c r="E20" s="13">
        <f ca="1">IFERROR(__xludf.DUMMYFUNCTION("GOOGLEFINANCE(""NSE:""&amp;A20,""LOW"")"),1315.95)</f>
        <v>1315.95</v>
      </c>
      <c r="F20" s="13">
        <f ca="1">IFERROR(__xludf.DUMMYFUNCTION("GOOGLEFINANCE(""NSE:""&amp;A20,""closeyest"")"),1330.65)</f>
        <v>1330.65</v>
      </c>
      <c r="G20" s="14">
        <f t="shared" ca="1" si="0"/>
        <v>-9.0840272520817562E-3</v>
      </c>
      <c r="H20" s="13">
        <f ca="1">IFERROR(__xludf.DUMMYFUNCTION("GOOGLEFINANCE(""NSE:""&amp;A20,""VOLUME"")"),506582)</f>
        <v>506582</v>
      </c>
      <c r="I20" s="13" t="str">
        <f ca="1">IFERROR(__xludf.DUMMYFUNCTION("AVERAGE(index(GOOGLEFINANCE(""NSE:""&amp;$A20, ""volume"", today()-21, today()-1), , 2))"),"#N/A")</f>
        <v>#N/A</v>
      </c>
      <c r="J20" s="14" t="e">
        <f t="shared" ca="1" si="1"/>
        <v>#VALUE!</v>
      </c>
      <c r="K20" s="13" t="str">
        <f ca="1">IFERROR(__xludf.DUMMYFUNCTION("AVERAGE(index(GOOGLEFINANCE(""NSE:""&amp;$A20, ""close"", today()-6, today()-1), , 2))"),"#N/A")</f>
        <v>#N/A</v>
      </c>
      <c r="L20" s="13" t="str">
        <f ca="1">IFERROR(__xludf.DUMMYFUNCTION("AVERAGE(index(GOOGLEFINANCE(""NSE:""&amp;$A20, ""close"", today()-14, today()-1), , 2))"),"#N/A")</f>
        <v>#N/A</v>
      </c>
      <c r="M20" s="13" t="str">
        <f ca="1">IFERROR(__xludf.DUMMYFUNCTION("AVERAGE(index(GOOGLEFINANCE(""NSE:""&amp;$A20, ""close"", today()-22, today()-1), , 2))"),"#N/A")</f>
        <v>#N/A</v>
      </c>
      <c r="N20" s="13" t="str">
        <f t="shared" ca="1" si="2"/>
        <v>No_Action</v>
      </c>
      <c r="O20" s="13" t="str">
        <f t="shared" ca="1" si="3"/>
        <v>No_Action</v>
      </c>
      <c r="P20" s="13" t="str">
        <f t="shared" ca="1" si="4"/>
        <v>No_Action</v>
      </c>
      <c r="Q20" s="13" t="str">
        <f t="shared" ca="1" si="5"/>
        <v>No_Action</v>
      </c>
      <c r="R20" s="15"/>
      <c r="S20" s="15" t="str">
        <f t="shared" ca="1" si="6"/>
        <v>NoNo</v>
      </c>
      <c r="T20" s="15"/>
      <c r="U20" s="15">
        <f t="shared" ca="1" si="7"/>
        <v>0</v>
      </c>
      <c r="V20" s="15">
        <f t="shared" ca="1" si="8"/>
        <v>0</v>
      </c>
      <c r="W20" s="15" t="str">
        <f t="shared" ca="1" si="9"/>
        <v>No_Action</v>
      </c>
      <c r="X20" s="15"/>
      <c r="Y20" s="15" t="str">
        <f t="shared" ca="1" si="10"/>
        <v>No_Action</v>
      </c>
      <c r="Z20" s="15">
        <f t="shared" ca="1" si="11"/>
        <v>0</v>
      </c>
      <c r="AA20" s="15">
        <f t="shared" ca="1" si="12"/>
        <v>0</v>
      </c>
      <c r="AB20" s="15"/>
      <c r="AC20" s="15" t="str">
        <f t="shared" ca="1" si="13"/>
        <v>NoNo</v>
      </c>
      <c r="AD20" s="15"/>
      <c r="AE20" s="15">
        <f t="shared" ca="1" si="14"/>
        <v>0</v>
      </c>
      <c r="AF20" s="16">
        <f t="shared" ca="1" si="15"/>
        <v>0</v>
      </c>
      <c r="AG20" s="16" t="str">
        <f t="shared" ca="1" si="16"/>
        <v>No_Action</v>
      </c>
      <c r="AH20" s="15"/>
      <c r="AI20" s="15" t="str">
        <f t="shared" ca="1" si="17"/>
        <v>No_Action</v>
      </c>
      <c r="AJ20" s="15">
        <f t="shared" ca="1" si="18"/>
        <v>0</v>
      </c>
      <c r="AK20" s="15">
        <f t="shared" ca="1" si="19"/>
        <v>0</v>
      </c>
    </row>
    <row r="21" spans="1:37" ht="15.75" customHeight="1" x14ac:dyDescent="0.35">
      <c r="A21" s="12" t="s">
        <v>37</v>
      </c>
      <c r="B21" s="13">
        <f ca="1">IFERROR(__xludf.DUMMYFUNCTION("GOOGLEFINANCE(""NSE:""&amp;A21,""PRICE"")"),570)</f>
        <v>570</v>
      </c>
      <c r="C21" s="13">
        <f ca="1">IFERROR(__xludf.DUMMYFUNCTION("GOOGLEFINANCE(""NSE:""&amp;A21,""PRICEOPEN"")"),568)</f>
        <v>568</v>
      </c>
      <c r="D21" s="13">
        <f ca="1">IFERROR(__xludf.DUMMYFUNCTION("GOOGLEFINANCE(""NSE:""&amp;A21,""HIGH"")"),576.75)</f>
        <v>576.75</v>
      </c>
      <c r="E21" s="13">
        <f ca="1">IFERROR(__xludf.DUMMYFUNCTION("GOOGLEFINANCE(""NSE:""&amp;A21,""LOW"")"),565)</f>
        <v>565</v>
      </c>
      <c r="F21" s="13">
        <f ca="1">IFERROR(__xludf.DUMMYFUNCTION("GOOGLEFINANCE(""NSE:""&amp;A21,""closeyest"")"),565.3)</f>
        <v>565.29999999999995</v>
      </c>
      <c r="G21" s="14">
        <f t="shared" ca="1" si="0"/>
        <v>3.5087719298245615E-3</v>
      </c>
      <c r="H21" s="13">
        <f ca="1">IFERROR(__xludf.DUMMYFUNCTION("GOOGLEFINANCE(""NSE:""&amp;A21,""VOLUME"")"),1156965)</f>
        <v>1156965</v>
      </c>
      <c r="I21" s="13" t="str">
        <f ca="1">IFERROR(__xludf.DUMMYFUNCTION("AVERAGE(index(GOOGLEFINANCE(""NSE:""&amp;$A21, ""volume"", today()-21, today()-1), , 2))"),"#N/A")</f>
        <v>#N/A</v>
      </c>
      <c r="J21" s="14" t="e">
        <f t="shared" ca="1" si="1"/>
        <v>#VALUE!</v>
      </c>
      <c r="K21" s="13" t="str">
        <f ca="1">IFERROR(__xludf.DUMMYFUNCTION("AVERAGE(index(GOOGLEFINANCE(""NSE:""&amp;$A21, ""close"", today()-6, today()-1), , 2))"),"#N/A")</f>
        <v>#N/A</v>
      </c>
      <c r="L21" s="13" t="str">
        <f ca="1">IFERROR(__xludf.DUMMYFUNCTION("AVERAGE(index(GOOGLEFINANCE(""NSE:""&amp;$A21, ""close"", today()-14, today()-1), , 2))"),"#N/A")</f>
        <v>#N/A</v>
      </c>
      <c r="M21" s="13" t="str">
        <f ca="1">IFERROR(__xludf.DUMMYFUNCTION("AVERAGE(index(GOOGLEFINANCE(""NSE:""&amp;$A21, ""close"", today()-22, today()-1), , 2))"),"#N/A")</f>
        <v>#N/A</v>
      </c>
      <c r="N21" s="13" t="str">
        <f t="shared" ca="1" si="2"/>
        <v>No_Action</v>
      </c>
      <c r="O21" s="13" t="str">
        <f t="shared" ca="1" si="3"/>
        <v>No_Action</v>
      </c>
      <c r="P21" s="13" t="str">
        <f t="shared" ca="1" si="4"/>
        <v>No_Action</v>
      </c>
      <c r="Q21" s="13" t="str">
        <f t="shared" ca="1" si="5"/>
        <v>No_Action</v>
      </c>
      <c r="R21" s="15"/>
      <c r="S21" s="15" t="str">
        <f t="shared" ca="1" si="6"/>
        <v>NoNo</v>
      </c>
      <c r="T21" s="15"/>
      <c r="U21" s="15">
        <f t="shared" ca="1" si="7"/>
        <v>0</v>
      </c>
      <c r="V21" s="15">
        <f t="shared" ca="1" si="8"/>
        <v>0</v>
      </c>
      <c r="W21" s="15" t="str">
        <f t="shared" ca="1" si="9"/>
        <v>No_Action</v>
      </c>
      <c r="X21" s="15"/>
      <c r="Y21" s="15" t="str">
        <f t="shared" ca="1" si="10"/>
        <v>No_Action</v>
      </c>
      <c r="Z21" s="15">
        <f t="shared" ca="1" si="11"/>
        <v>0</v>
      </c>
      <c r="AA21" s="15">
        <f t="shared" ca="1" si="12"/>
        <v>0</v>
      </c>
      <c r="AB21" s="15"/>
      <c r="AC21" s="15" t="str">
        <f t="shared" ca="1" si="13"/>
        <v>NoNo</v>
      </c>
      <c r="AD21" s="15"/>
      <c r="AE21" s="15">
        <f t="shared" ca="1" si="14"/>
        <v>0</v>
      </c>
      <c r="AF21" s="16">
        <f t="shared" ca="1" si="15"/>
        <v>0</v>
      </c>
      <c r="AG21" s="16" t="str">
        <f t="shared" ca="1" si="16"/>
        <v>No_Action</v>
      </c>
      <c r="AH21" s="15"/>
      <c r="AI21" s="15" t="str">
        <f t="shared" ca="1" si="17"/>
        <v>No_Action</v>
      </c>
      <c r="AJ21" s="15">
        <f t="shared" ca="1" si="18"/>
        <v>0</v>
      </c>
      <c r="AK21" s="15">
        <f t="shared" ca="1" si="19"/>
        <v>0</v>
      </c>
    </row>
    <row r="22" spans="1:37" ht="14.5" customHeight="1" x14ac:dyDescent="0.35">
      <c r="A22" s="12" t="s">
        <v>38</v>
      </c>
      <c r="B22" s="13">
        <f ca="1">IFERROR(__xludf.DUMMYFUNCTION("GOOGLEFINANCE(""NSE:""&amp;A22,""PRICE"")"),680.55)</f>
        <v>680.55</v>
      </c>
      <c r="C22" s="13">
        <f ca="1">IFERROR(__xludf.DUMMYFUNCTION("GOOGLEFINANCE(""NSE:""&amp;A22,""PRICEOPEN"")"),684.7)</f>
        <v>684.7</v>
      </c>
      <c r="D22" s="13">
        <f ca="1">IFERROR(__xludf.DUMMYFUNCTION("GOOGLEFINANCE(""NSE:""&amp;A22,""HIGH"")"),699.85)</f>
        <v>699.85</v>
      </c>
      <c r="E22" s="13">
        <f ca="1">IFERROR(__xludf.DUMMYFUNCTION("GOOGLEFINANCE(""NSE:""&amp;A22,""LOW"")"),679)</f>
        <v>679</v>
      </c>
      <c r="F22" s="13">
        <f ca="1">IFERROR(__xludf.DUMMYFUNCTION("GOOGLEFINANCE(""NSE:""&amp;A22,""closeyest"")"),678)</f>
        <v>678</v>
      </c>
      <c r="G22" s="14">
        <f t="shared" ca="1" si="0"/>
        <v>-6.0980089633386105E-3</v>
      </c>
      <c r="H22" s="13">
        <f ca="1">IFERROR(__xludf.DUMMYFUNCTION("GOOGLEFINANCE(""NSE:""&amp;A22,""VOLUME"")"),170566)</f>
        <v>170566</v>
      </c>
      <c r="I22" s="13" t="str">
        <f ca="1">IFERROR(__xludf.DUMMYFUNCTION("AVERAGE(index(GOOGLEFINANCE(""NSE:""&amp;$A22, ""volume"", today()-21, today()-1), , 2))"),"#N/A")</f>
        <v>#N/A</v>
      </c>
      <c r="J22" s="14" t="e">
        <f t="shared" ca="1" si="1"/>
        <v>#VALUE!</v>
      </c>
      <c r="K22" s="13" t="str">
        <f ca="1">IFERROR(__xludf.DUMMYFUNCTION("AVERAGE(index(GOOGLEFINANCE(""NSE:""&amp;$A22, ""close"", today()-6, today()-1), , 2))"),"#N/A")</f>
        <v>#N/A</v>
      </c>
      <c r="L22" s="13" t="str">
        <f ca="1">IFERROR(__xludf.DUMMYFUNCTION("AVERAGE(index(GOOGLEFINANCE(""NSE:""&amp;$A22, ""close"", today()-14, today()-1), , 2))"),"#N/A")</f>
        <v>#N/A</v>
      </c>
      <c r="M22" s="13" t="str">
        <f ca="1">IFERROR(__xludf.DUMMYFUNCTION("AVERAGE(index(GOOGLEFINANCE(""NSE:""&amp;$A22, ""close"", today()-22, today()-1), , 2))"),"#N/A")</f>
        <v>#N/A</v>
      </c>
      <c r="N22" s="13" t="str">
        <f t="shared" ca="1" si="2"/>
        <v>No_Action</v>
      </c>
      <c r="O22" s="13" t="str">
        <f t="shared" ca="1" si="3"/>
        <v>No_Action</v>
      </c>
      <c r="P22" s="13" t="str">
        <f t="shared" ca="1" si="4"/>
        <v>No_Action</v>
      </c>
      <c r="Q22" s="13" t="str">
        <f t="shared" ca="1" si="5"/>
        <v>No_Action</v>
      </c>
      <c r="R22" s="15"/>
      <c r="S22" s="15" t="str">
        <f t="shared" ca="1" si="6"/>
        <v>NoNo</v>
      </c>
      <c r="T22" s="15"/>
      <c r="U22" s="15">
        <f t="shared" ca="1" si="7"/>
        <v>0</v>
      </c>
      <c r="V22" s="15">
        <f t="shared" ca="1" si="8"/>
        <v>0</v>
      </c>
      <c r="W22" s="15" t="str">
        <f t="shared" ca="1" si="9"/>
        <v>No_Action</v>
      </c>
      <c r="X22" s="15"/>
      <c r="Y22" s="15" t="str">
        <f t="shared" ca="1" si="10"/>
        <v>No_Action</v>
      </c>
      <c r="Z22" s="15">
        <f t="shared" ca="1" si="11"/>
        <v>0</v>
      </c>
      <c r="AA22" s="15">
        <f t="shared" ca="1" si="12"/>
        <v>0</v>
      </c>
      <c r="AB22" s="15"/>
      <c r="AC22" s="15" t="str">
        <f t="shared" ca="1" si="13"/>
        <v>NoNo</v>
      </c>
      <c r="AD22" s="15"/>
      <c r="AE22" s="15">
        <f t="shared" ca="1" si="14"/>
        <v>0</v>
      </c>
      <c r="AF22" s="16">
        <f t="shared" ca="1" si="15"/>
        <v>0</v>
      </c>
      <c r="AG22" s="16" t="str">
        <f t="shared" ca="1" si="16"/>
        <v>No_Action</v>
      </c>
      <c r="AH22" s="15"/>
      <c r="AI22" s="15" t="str">
        <f t="shared" ca="1" si="17"/>
        <v>No_Action</v>
      </c>
      <c r="AJ22" s="15">
        <f t="shared" ca="1" si="18"/>
        <v>0</v>
      </c>
      <c r="AK22" s="15">
        <f t="shared" ca="1" si="19"/>
        <v>0</v>
      </c>
    </row>
    <row r="23" spans="1:37" ht="14.5" customHeight="1" x14ac:dyDescent="0.35">
      <c r="A23" s="12" t="s">
        <v>39</v>
      </c>
      <c r="B23" s="13">
        <f ca="1">IFERROR(__xludf.DUMMYFUNCTION("GOOGLEFINANCE(""NSE:""&amp;A23,""PRICE"")"),7203)</f>
        <v>7203</v>
      </c>
      <c r="C23" s="13">
        <f ca="1">IFERROR(__xludf.DUMMYFUNCTION("GOOGLEFINANCE(""NSE:""&amp;A23,""PRICEOPEN"")"),7162.75)</f>
        <v>7162.75</v>
      </c>
      <c r="D23" s="13">
        <f ca="1">IFERROR(__xludf.DUMMYFUNCTION("GOOGLEFINANCE(""NSE:""&amp;A23,""HIGH"")"),7227.95)</f>
        <v>7227.95</v>
      </c>
      <c r="E23" s="13">
        <f ca="1">IFERROR(__xludf.DUMMYFUNCTION("GOOGLEFINANCE(""NSE:""&amp;A23,""LOW"")"),7162.75)</f>
        <v>7162.75</v>
      </c>
      <c r="F23" s="13">
        <f ca="1">IFERROR(__xludf.DUMMYFUNCTION("GOOGLEFINANCE(""NSE:""&amp;A23,""closeyest"")"),7233.3)</f>
        <v>7233.3</v>
      </c>
      <c r="G23" s="14">
        <f t="shared" ca="1" si="0"/>
        <v>5.5879494655004863E-3</v>
      </c>
      <c r="H23" s="13">
        <f ca="1">IFERROR(__xludf.DUMMYFUNCTION("GOOGLEFINANCE(""NSE:""&amp;A23,""VOLUME"")"),203674)</f>
        <v>203674</v>
      </c>
      <c r="I23" s="13" t="str">
        <f ca="1">IFERROR(__xludf.DUMMYFUNCTION("AVERAGE(index(GOOGLEFINANCE(""NSE:""&amp;$A23, ""volume"", today()-21, today()-1), , 2))"),"#N/A")</f>
        <v>#N/A</v>
      </c>
      <c r="J23" s="14" t="e">
        <f t="shared" ca="1" si="1"/>
        <v>#VALUE!</v>
      </c>
      <c r="K23" s="13" t="str">
        <f ca="1">IFERROR(__xludf.DUMMYFUNCTION("AVERAGE(index(GOOGLEFINANCE(""NSE:""&amp;$A23, ""close"", today()-6, today()-1), , 2))"),"#N/A")</f>
        <v>#N/A</v>
      </c>
      <c r="L23" s="13" t="str">
        <f ca="1">IFERROR(__xludf.DUMMYFUNCTION("AVERAGE(index(GOOGLEFINANCE(""NSE:""&amp;$A23, ""close"", today()-14, today()-1), , 2))"),"#N/A")</f>
        <v>#N/A</v>
      </c>
      <c r="M23" s="13" t="str">
        <f ca="1">IFERROR(__xludf.DUMMYFUNCTION("AVERAGE(index(GOOGLEFINANCE(""NSE:""&amp;$A23, ""close"", today()-22, today()-1), , 2))"),"#N/A")</f>
        <v>#N/A</v>
      </c>
      <c r="N23" s="13" t="str">
        <f t="shared" ca="1" si="2"/>
        <v>No_Action</v>
      </c>
      <c r="O23" s="13" t="str">
        <f t="shared" ca="1" si="3"/>
        <v>No_Action</v>
      </c>
      <c r="P23" s="13" t="str">
        <f t="shared" ca="1" si="4"/>
        <v>No_Action</v>
      </c>
      <c r="Q23" s="13" t="str">
        <f t="shared" ca="1" si="5"/>
        <v>No_Action</v>
      </c>
      <c r="R23" s="15"/>
      <c r="S23" s="15" t="str">
        <f t="shared" ca="1" si="6"/>
        <v>NoNo</v>
      </c>
      <c r="T23" s="15"/>
      <c r="U23" s="15">
        <f t="shared" ca="1" si="7"/>
        <v>0</v>
      </c>
      <c r="V23" s="15">
        <f t="shared" ca="1" si="8"/>
        <v>0</v>
      </c>
      <c r="W23" s="15" t="str">
        <f t="shared" ca="1" si="9"/>
        <v>No_Action</v>
      </c>
      <c r="X23" s="15"/>
      <c r="Y23" s="15" t="str">
        <f t="shared" ca="1" si="10"/>
        <v>No_Action</v>
      </c>
      <c r="Z23" s="15">
        <f t="shared" ca="1" si="11"/>
        <v>0</v>
      </c>
      <c r="AA23" s="15">
        <f t="shared" ca="1" si="12"/>
        <v>0</v>
      </c>
      <c r="AB23" s="15"/>
      <c r="AC23" s="15" t="str">
        <f t="shared" ca="1" si="13"/>
        <v>NoNo</v>
      </c>
      <c r="AD23" s="15"/>
      <c r="AE23" s="15">
        <f t="shared" ca="1" si="14"/>
        <v>0</v>
      </c>
      <c r="AF23" s="16">
        <f t="shared" ca="1" si="15"/>
        <v>0</v>
      </c>
      <c r="AG23" s="16" t="str">
        <f t="shared" ca="1" si="16"/>
        <v>No_Action</v>
      </c>
      <c r="AH23" s="15"/>
      <c r="AI23" s="15" t="str">
        <f t="shared" ca="1" si="17"/>
        <v>No_Action</v>
      </c>
      <c r="AJ23" s="15">
        <f t="shared" ca="1" si="18"/>
        <v>0</v>
      </c>
      <c r="AK23" s="15">
        <f t="shared" ca="1" si="19"/>
        <v>0</v>
      </c>
    </row>
    <row r="24" spans="1:37" ht="14.5" customHeight="1" x14ac:dyDescent="0.35">
      <c r="A24" s="12" t="s">
        <v>40</v>
      </c>
      <c r="B24" s="13">
        <f ca="1">IFERROR(__xludf.DUMMYFUNCTION("GOOGLEFINANCE(""NSE:""&amp;A24,""PRICE"")"),547.35)</f>
        <v>547.35</v>
      </c>
      <c r="C24" s="13">
        <f ca="1">IFERROR(__xludf.DUMMYFUNCTION("GOOGLEFINANCE(""NSE:""&amp;A24,""PRICEOPEN"")"),538)</f>
        <v>538</v>
      </c>
      <c r="D24" s="13">
        <f ca="1">IFERROR(__xludf.DUMMYFUNCTION("GOOGLEFINANCE(""NSE:""&amp;A24,""HIGH"")"),557)</f>
        <v>557</v>
      </c>
      <c r="E24" s="13">
        <f ca="1">IFERROR(__xludf.DUMMYFUNCTION("GOOGLEFINANCE(""NSE:""&amp;A24,""LOW"")"),537.2)</f>
        <v>537.20000000000005</v>
      </c>
      <c r="F24" s="13">
        <f ca="1">IFERROR(__xludf.DUMMYFUNCTION("GOOGLEFINANCE(""NSE:""&amp;A24,""closeyest"")"),541.8)</f>
        <v>541.79999999999995</v>
      </c>
      <c r="G24" s="14">
        <f t="shared" ca="1" si="0"/>
        <v>1.7082305654517259E-2</v>
      </c>
      <c r="H24" s="13">
        <f ca="1">IFERROR(__xludf.DUMMYFUNCTION("GOOGLEFINANCE(""NSE:""&amp;A24,""VOLUME"")"),1732714)</f>
        <v>1732714</v>
      </c>
      <c r="I24" s="13" t="str">
        <f ca="1">IFERROR(__xludf.DUMMYFUNCTION("AVERAGE(index(GOOGLEFINANCE(""NSE:""&amp;$A24, ""volume"", today()-21, today()-1), , 2))"),"#N/A")</f>
        <v>#N/A</v>
      </c>
      <c r="J24" s="14" t="e">
        <f t="shared" ca="1" si="1"/>
        <v>#VALUE!</v>
      </c>
      <c r="K24" s="13" t="str">
        <f ca="1">IFERROR(__xludf.DUMMYFUNCTION("AVERAGE(index(GOOGLEFINANCE(""NSE:""&amp;$A24, ""close"", today()-6, today()-1), , 2))"),"#N/A")</f>
        <v>#N/A</v>
      </c>
      <c r="L24" s="13" t="str">
        <f ca="1">IFERROR(__xludf.DUMMYFUNCTION("AVERAGE(index(GOOGLEFINANCE(""NSE:""&amp;$A24, ""close"", today()-14, today()-1), , 2))"),"#N/A")</f>
        <v>#N/A</v>
      </c>
      <c r="M24" s="13" t="str">
        <f ca="1">IFERROR(__xludf.DUMMYFUNCTION("AVERAGE(index(GOOGLEFINANCE(""NSE:""&amp;$A24, ""close"", today()-22, today()-1), , 2))"),"#N/A")</f>
        <v>#N/A</v>
      </c>
      <c r="N24" s="13" t="str">
        <f t="shared" ca="1" si="2"/>
        <v>No_Action</v>
      </c>
      <c r="O24" s="13" t="str">
        <f t="shared" ca="1" si="3"/>
        <v>No_Action</v>
      </c>
      <c r="P24" s="13" t="str">
        <f t="shared" ca="1" si="4"/>
        <v>No_Action</v>
      </c>
      <c r="Q24" s="13" t="str">
        <f t="shared" ca="1" si="5"/>
        <v>No_Action</v>
      </c>
      <c r="R24" s="15"/>
      <c r="S24" s="15" t="str">
        <f t="shared" ca="1" si="6"/>
        <v>NoNo</v>
      </c>
      <c r="T24" s="15"/>
      <c r="U24" s="15">
        <f t="shared" ca="1" si="7"/>
        <v>0</v>
      </c>
      <c r="V24" s="15">
        <f t="shared" ca="1" si="8"/>
        <v>0</v>
      </c>
      <c r="W24" s="15" t="str">
        <f t="shared" ca="1" si="9"/>
        <v>No_Action</v>
      </c>
      <c r="X24" s="15"/>
      <c r="Y24" s="15" t="str">
        <f t="shared" ca="1" si="10"/>
        <v>No_Action</v>
      </c>
      <c r="Z24" s="15">
        <f t="shared" ca="1" si="11"/>
        <v>0</v>
      </c>
      <c r="AA24" s="15">
        <f t="shared" ca="1" si="12"/>
        <v>0</v>
      </c>
      <c r="AB24" s="15"/>
      <c r="AC24" s="15" t="str">
        <f t="shared" ca="1" si="13"/>
        <v>NoNo</v>
      </c>
      <c r="AD24" s="15"/>
      <c r="AE24" s="15">
        <f t="shared" ca="1" si="14"/>
        <v>0</v>
      </c>
      <c r="AF24" s="16">
        <f t="shared" ca="1" si="15"/>
        <v>0</v>
      </c>
      <c r="AG24" s="16" t="str">
        <f t="shared" ca="1" si="16"/>
        <v>No_Action</v>
      </c>
      <c r="AH24" s="15"/>
      <c r="AI24" s="15" t="str">
        <f t="shared" ca="1" si="17"/>
        <v>No_Action</v>
      </c>
      <c r="AJ24" s="15">
        <f t="shared" ca="1" si="18"/>
        <v>0</v>
      </c>
      <c r="AK24" s="15">
        <f t="shared" ca="1" si="19"/>
        <v>0</v>
      </c>
    </row>
    <row r="25" spans="1:37" ht="14.5" customHeight="1" x14ac:dyDescent="0.35">
      <c r="A25" s="12" t="s">
        <v>41</v>
      </c>
      <c r="B25" s="13">
        <f ca="1">IFERROR(__xludf.DUMMYFUNCTION("GOOGLEFINANCE(""NSE:""&amp;A25,""PRICE"")"),181.15)</f>
        <v>181.15</v>
      </c>
      <c r="C25" s="13">
        <f ca="1">IFERROR(__xludf.DUMMYFUNCTION("GOOGLEFINANCE(""NSE:""&amp;A25,""PRICEOPEN"")"),178.2)</f>
        <v>178.2</v>
      </c>
      <c r="D25" s="13">
        <f ca="1">IFERROR(__xludf.DUMMYFUNCTION("GOOGLEFINANCE(""NSE:""&amp;A25,""HIGH"")"),184)</f>
        <v>184</v>
      </c>
      <c r="E25" s="13">
        <f ca="1">IFERROR(__xludf.DUMMYFUNCTION("GOOGLEFINANCE(""NSE:""&amp;A25,""LOW"")"),177.96)</f>
        <v>177.96</v>
      </c>
      <c r="F25" s="13">
        <f ca="1">IFERROR(__xludf.DUMMYFUNCTION("GOOGLEFINANCE(""NSE:""&amp;A25,""closeyest"")"),178.2)</f>
        <v>178.2</v>
      </c>
      <c r="G25" s="14">
        <f t="shared" ca="1" si="0"/>
        <v>1.628484681203432E-2</v>
      </c>
      <c r="H25" s="13">
        <f ca="1">IFERROR(__xludf.DUMMYFUNCTION("GOOGLEFINANCE(""NSE:""&amp;A25,""VOLUME"")"),429400)</f>
        <v>429400</v>
      </c>
      <c r="I25" s="13" t="str">
        <f ca="1">IFERROR(__xludf.DUMMYFUNCTION("AVERAGE(index(GOOGLEFINANCE(""NSE:""&amp;$A25, ""volume"", today()-21, today()-1), , 2))"),"#N/A")</f>
        <v>#N/A</v>
      </c>
      <c r="J25" s="14" t="e">
        <f t="shared" ca="1" si="1"/>
        <v>#VALUE!</v>
      </c>
      <c r="K25" s="13" t="str">
        <f ca="1">IFERROR(__xludf.DUMMYFUNCTION("AVERAGE(index(GOOGLEFINANCE(""NSE:""&amp;$A25, ""close"", today()-6, today()-1), , 2))"),"#N/A")</f>
        <v>#N/A</v>
      </c>
      <c r="L25" s="13" t="str">
        <f ca="1">IFERROR(__xludf.DUMMYFUNCTION("AVERAGE(index(GOOGLEFINANCE(""NSE:""&amp;$A25, ""close"", today()-14, today()-1), , 2))"),"#N/A")</f>
        <v>#N/A</v>
      </c>
      <c r="M25" s="13" t="str">
        <f ca="1">IFERROR(__xludf.DUMMYFUNCTION("AVERAGE(index(GOOGLEFINANCE(""NSE:""&amp;$A25, ""close"", today()-22, today()-1), , 2))"),"#N/A")</f>
        <v>#N/A</v>
      </c>
      <c r="N25" s="13" t="str">
        <f t="shared" ca="1" si="2"/>
        <v>No_Action</v>
      </c>
      <c r="O25" s="13" t="str">
        <f t="shared" ca="1" si="3"/>
        <v>No_Action</v>
      </c>
      <c r="P25" s="13" t="str">
        <f t="shared" ca="1" si="4"/>
        <v>No_Action</v>
      </c>
      <c r="Q25" s="13" t="str">
        <f t="shared" ca="1" si="5"/>
        <v>No_Action</v>
      </c>
      <c r="R25" s="15"/>
      <c r="S25" s="15" t="str">
        <f t="shared" ca="1" si="6"/>
        <v>NoNo</v>
      </c>
      <c r="T25" s="15"/>
      <c r="U25" s="15">
        <f t="shared" ca="1" si="7"/>
        <v>0</v>
      </c>
      <c r="V25" s="15">
        <f t="shared" ca="1" si="8"/>
        <v>0</v>
      </c>
      <c r="W25" s="15" t="str">
        <f t="shared" ca="1" si="9"/>
        <v>No_Action</v>
      </c>
      <c r="X25" s="15"/>
      <c r="Y25" s="15" t="str">
        <f t="shared" ca="1" si="10"/>
        <v>No_Action</v>
      </c>
      <c r="Z25" s="15">
        <f t="shared" ca="1" si="11"/>
        <v>0</v>
      </c>
      <c r="AA25" s="15">
        <f t="shared" ca="1" si="12"/>
        <v>0</v>
      </c>
      <c r="AB25" s="15"/>
      <c r="AC25" s="15" t="str">
        <f t="shared" ca="1" si="13"/>
        <v>NoNo</v>
      </c>
      <c r="AD25" s="15"/>
      <c r="AE25" s="15">
        <f t="shared" ca="1" si="14"/>
        <v>0</v>
      </c>
      <c r="AF25" s="16">
        <f t="shared" ca="1" si="15"/>
        <v>0</v>
      </c>
      <c r="AG25" s="16" t="str">
        <f t="shared" ca="1" si="16"/>
        <v>No_Action</v>
      </c>
      <c r="AH25" s="15"/>
      <c r="AI25" s="15" t="str">
        <f t="shared" ca="1" si="17"/>
        <v>No_Action</v>
      </c>
      <c r="AJ25" s="15">
        <f t="shared" ca="1" si="18"/>
        <v>0</v>
      </c>
      <c r="AK25" s="15">
        <f t="shared" ca="1" si="19"/>
        <v>0</v>
      </c>
    </row>
    <row r="26" spans="1:37" ht="14.5" customHeight="1" x14ac:dyDescent="0.35">
      <c r="A26" s="12" t="s">
        <v>42</v>
      </c>
      <c r="B26" s="13">
        <f ca="1">IFERROR(__xludf.DUMMYFUNCTION("GOOGLEFINANCE(""NSE:""&amp;A26,""PRICE"")"),320)</f>
        <v>320</v>
      </c>
      <c r="C26" s="13">
        <f ca="1">IFERROR(__xludf.DUMMYFUNCTION("GOOGLEFINANCE(""NSE:""&amp;A26,""PRICEOPEN"")"),326.75)</f>
        <v>326.75</v>
      </c>
      <c r="D26" s="13">
        <f ca="1">IFERROR(__xludf.DUMMYFUNCTION("GOOGLEFINANCE(""NSE:""&amp;A26,""HIGH"")"),329.5)</f>
        <v>329.5</v>
      </c>
      <c r="E26" s="13">
        <f ca="1">IFERROR(__xludf.DUMMYFUNCTION("GOOGLEFINANCE(""NSE:""&amp;A26,""LOW"")"),319.25)</f>
        <v>319.25</v>
      </c>
      <c r="F26" s="13">
        <f ca="1">IFERROR(__xludf.DUMMYFUNCTION("GOOGLEFINANCE(""NSE:""&amp;A26,""closeyest"")"),325.3)</f>
        <v>325.3</v>
      </c>
      <c r="G26" s="14">
        <f t="shared" ca="1" si="0"/>
        <v>-2.1093750000000001E-2</v>
      </c>
      <c r="H26" s="13">
        <f ca="1">IFERROR(__xludf.DUMMYFUNCTION("GOOGLEFINANCE(""NSE:""&amp;A26,""VOLUME"")"),657145)</f>
        <v>657145</v>
      </c>
      <c r="I26" s="13" t="str">
        <f ca="1">IFERROR(__xludf.DUMMYFUNCTION("AVERAGE(index(GOOGLEFINANCE(""NSE:""&amp;$A26, ""volume"", today()-21, today()-1), , 2))"),"#N/A")</f>
        <v>#N/A</v>
      </c>
      <c r="J26" s="14" t="e">
        <f t="shared" ca="1" si="1"/>
        <v>#VALUE!</v>
      </c>
      <c r="K26" s="13" t="str">
        <f ca="1">IFERROR(__xludf.DUMMYFUNCTION("AVERAGE(index(GOOGLEFINANCE(""NSE:""&amp;$A26, ""close"", today()-6, today()-1), , 2))"),"#N/A")</f>
        <v>#N/A</v>
      </c>
      <c r="L26" s="13" t="str">
        <f ca="1">IFERROR(__xludf.DUMMYFUNCTION("AVERAGE(index(GOOGLEFINANCE(""NSE:""&amp;$A26, ""close"", today()-14, today()-1), , 2))"),"#N/A")</f>
        <v>#N/A</v>
      </c>
      <c r="M26" s="13" t="str">
        <f ca="1">IFERROR(__xludf.DUMMYFUNCTION("AVERAGE(index(GOOGLEFINANCE(""NSE:""&amp;$A26, ""close"", today()-22, today()-1), , 2))"),"#N/A")</f>
        <v>#N/A</v>
      </c>
      <c r="N26" s="13" t="str">
        <f t="shared" ca="1" si="2"/>
        <v>No_Action</v>
      </c>
      <c r="O26" s="13" t="str">
        <f t="shared" ca="1" si="3"/>
        <v>No_Action</v>
      </c>
      <c r="P26" s="13" t="str">
        <f t="shared" ca="1" si="4"/>
        <v>No_Action</v>
      </c>
      <c r="Q26" s="13" t="str">
        <f t="shared" ca="1" si="5"/>
        <v>No_Action</v>
      </c>
      <c r="R26" s="15"/>
      <c r="S26" s="15" t="str">
        <f t="shared" ca="1" si="6"/>
        <v>NoNo</v>
      </c>
      <c r="T26" s="15"/>
      <c r="U26" s="15">
        <f t="shared" ca="1" si="7"/>
        <v>0</v>
      </c>
      <c r="V26" s="15">
        <f t="shared" ca="1" si="8"/>
        <v>0</v>
      </c>
      <c r="W26" s="15" t="str">
        <f t="shared" ca="1" si="9"/>
        <v>No_Action</v>
      </c>
      <c r="X26" s="15"/>
      <c r="Y26" s="15" t="str">
        <f t="shared" ca="1" si="10"/>
        <v>No_Action</v>
      </c>
      <c r="Z26" s="15">
        <f t="shared" ca="1" si="11"/>
        <v>0</v>
      </c>
      <c r="AA26" s="15">
        <f t="shared" ca="1" si="12"/>
        <v>0</v>
      </c>
      <c r="AB26" s="15"/>
      <c r="AC26" s="15" t="str">
        <f t="shared" ca="1" si="13"/>
        <v>NoNo</v>
      </c>
      <c r="AD26" s="15"/>
      <c r="AE26" s="15">
        <f t="shared" ca="1" si="14"/>
        <v>0</v>
      </c>
      <c r="AF26" s="16">
        <f t="shared" ca="1" si="15"/>
        <v>0</v>
      </c>
      <c r="AG26" s="16" t="str">
        <f t="shared" ca="1" si="16"/>
        <v>No_Action</v>
      </c>
      <c r="AH26" s="15"/>
      <c r="AI26" s="15" t="str">
        <f t="shared" ca="1" si="17"/>
        <v>No_Action</v>
      </c>
      <c r="AJ26" s="15">
        <f t="shared" ca="1" si="18"/>
        <v>0</v>
      </c>
      <c r="AK26" s="15">
        <f t="shared" ca="1" si="19"/>
        <v>0</v>
      </c>
    </row>
    <row r="27" spans="1:37" ht="14.5" customHeight="1" x14ac:dyDescent="0.35">
      <c r="A27" s="12" t="s">
        <v>43</v>
      </c>
      <c r="B27" s="13">
        <f ca="1">IFERROR(__xludf.DUMMYFUNCTION("GOOGLEFINANCE(""NSE:""&amp;A27,""PRICE"")"),700.65)</f>
        <v>700.65</v>
      </c>
      <c r="C27" s="13">
        <f ca="1">IFERROR(__xludf.DUMMYFUNCTION("GOOGLEFINANCE(""NSE:""&amp;A27,""PRICEOPEN"")"),694)</f>
        <v>694</v>
      </c>
      <c r="D27" s="13">
        <f ca="1">IFERROR(__xludf.DUMMYFUNCTION("GOOGLEFINANCE(""NSE:""&amp;A27,""HIGH"")"),702.9)</f>
        <v>702.9</v>
      </c>
      <c r="E27" s="13">
        <f ca="1">IFERROR(__xludf.DUMMYFUNCTION("GOOGLEFINANCE(""NSE:""&amp;A27,""LOW"")"),691.35)</f>
        <v>691.35</v>
      </c>
      <c r="F27" s="13">
        <f ca="1">IFERROR(__xludf.DUMMYFUNCTION("GOOGLEFINANCE(""NSE:""&amp;A27,""closeyest"")"),695.5)</f>
        <v>695.5</v>
      </c>
      <c r="G27" s="14">
        <f t="shared" ca="1" si="0"/>
        <v>9.4911867551558948E-3</v>
      </c>
      <c r="H27" s="13">
        <f ca="1">IFERROR(__xludf.DUMMYFUNCTION("GOOGLEFINANCE(""NSE:""&amp;A27,""VOLUME"")"),159761)</f>
        <v>159761</v>
      </c>
      <c r="I27" s="13" t="str">
        <f ca="1">IFERROR(__xludf.DUMMYFUNCTION("AVERAGE(index(GOOGLEFINANCE(""NSE:""&amp;$A27, ""volume"", today()-21, today()-1), , 2))"),"#N/A")</f>
        <v>#N/A</v>
      </c>
      <c r="J27" s="14" t="e">
        <f t="shared" ca="1" si="1"/>
        <v>#VALUE!</v>
      </c>
      <c r="K27" s="13" t="str">
        <f ca="1">IFERROR(__xludf.DUMMYFUNCTION("AVERAGE(index(GOOGLEFINANCE(""NSE:""&amp;$A27, ""close"", today()-6, today()-1), , 2))"),"#N/A")</f>
        <v>#N/A</v>
      </c>
      <c r="L27" s="13" t="str">
        <f ca="1">IFERROR(__xludf.DUMMYFUNCTION("AVERAGE(index(GOOGLEFINANCE(""NSE:""&amp;$A27, ""close"", today()-14, today()-1), , 2))"),"#N/A")</f>
        <v>#N/A</v>
      </c>
      <c r="M27" s="13" t="str">
        <f ca="1">IFERROR(__xludf.DUMMYFUNCTION("AVERAGE(index(GOOGLEFINANCE(""NSE:""&amp;$A27, ""close"", today()-22, today()-1), , 2))"),"#N/A")</f>
        <v>#N/A</v>
      </c>
      <c r="N27" s="13" t="str">
        <f t="shared" ca="1" si="2"/>
        <v>No_Action</v>
      </c>
      <c r="O27" s="13" t="str">
        <f t="shared" ca="1" si="3"/>
        <v>No_Action</v>
      </c>
      <c r="P27" s="13" t="str">
        <f t="shared" ca="1" si="4"/>
        <v>No_Action</v>
      </c>
      <c r="Q27" s="13" t="str">
        <f t="shared" ca="1" si="5"/>
        <v>No_Action</v>
      </c>
      <c r="R27" s="15"/>
      <c r="S27" s="15" t="str">
        <f t="shared" ca="1" si="6"/>
        <v>NoNo</v>
      </c>
      <c r="T27" s="15"/>
      <c r="U27" s="15">
        <f t="shared" ca="1" si="7"/>
        <v>0</v>
      </c>
      <c r="V27" s="15">
        <f t="shared" ca="1" si="8"/>
        <v>0</v>
      </c>
      <c r="W27" s="15" t="str">
        <f t="shared" ca="1" si="9"/>
        <v>No_Action</v>
      </c>
      <c r="X27" s="15"/>
      <c r="Y27" s="15" t="str">
        <f t="shared" ca="1" si="10"/>
        <v>No_Action</v>
      </c>
      <c r="Z27" s="15">
        <f t="shared" ca="1" si="11"/>
        <v>0</v>
      </c>
      <c r="AA27" s="15">
        <f t="shared" ca="1" si="12"/>
        <v>0</v>
      </c>
      <c r="AB27" s="15"/>
      <c r="AC27" s="15" t="str">
        <f t="shared" ca="1" si="13"/>
        <v>NoNo</v>
      </c>
      <c r="AD27" s="15"/>
      <c r="AE27" s="15">
        <f t="shared" ca="1" si="14"/>
        <v>0</v>
      </c>
      <c r="AF27" s="16">
        <f t="shared" ca="1" si="15"/>
        <v>0</v>
      </c>
      <c r="AG27" s="16" t="str">
        <f t="shared" ca="1" si="16"/>
        <v>No_Action</v>
      </c>
      <c r="AH27" s="15"/>
      <c r="AI27" s="15" t="str">
        <f t="shared" ca="1" si="17"/>
        <v>No_Action</v>
      </c>
      <c r="AJ27" s="15">
        <f t="shared" ca="1" si="18"/>
        <v>0</v>
      </c>
      <c r="AK27" s="15">
        <f t="shared" ca="1" si="19"/>
        <v>0</v>
      </c>
    </row>
    <row r="28" spans="1:37" ht="14.5" customHeight="1" x14ac:dyDescent="0.35">
      <c r="A28" s="12" t="s">
        <v>44</v>
      </c>
      <c r="B28" s="13">
        <f ca="1">IFERROR(__xludf.DUMMYFUNCTION("GOOGLEFINANCE(""NSE:""&amp;A28,""PRICE"")"),1362.6)</f>
        <v>1362.6</v>
      </c>
      <c r="C28" s="13">
        <f ca="1">IFERROR(__xludf.DUMMYFUNCTION("GOOGLEFINANCE(""NSE:""&amp;A28,""PRICEOPEN"")"),1362.25)</f>
        <v>1362.25</v>
      </c>
      <c r="D28" s="13">
        <f ca="1">IFERROR(__xludf.DUMMYFUNCTION("GOOGLEFINANCE(""NSE:""&amp;A28,""HIGH"")"),1398.95)</f>
        <v>1398.95</v>
      </c>
      <c r="E28" s="13">
        <f ca="1">IFERROR(__xludf.DUMMYFUNCTION("GOOGLEFINANCE(""NSE:""&amp;A28,""LOW"")"),1354.15)</f>
        <v>1354.15</v>
      </c>
      <c r="F28" s="13">
        <f ca="1">IFERROR(__xludf.DUMMYFUNCTION("GOOGLEFINANCE(""NSE:""&amp;A28,""closeyest"")"),1362.25)</f>
        <v>1362.25</v>
      </c>
      <c r="G28" s="14">
        <f t="shared" ca="1" si="0"/>
        <v>2.5686188169668945E-4</v>
      </c>
      <c r="H28" s="13">
        <f ca="1">IFERROR(__xludf.DUMMYFUNCTION("GOOGLEFINANCE(""NSE:""&amp;A28,""VOLUME"")"),25694)</f>
        <v>25694</v>
      </c>
      <c r="I28" s="13" t="str">
        <f ca="1">IFERROR(__xludf.DUMMYFUNCTION("AVERAGE(index(GOOGLEFINANCE(""NSE:""&amp;$A28, ""volume"", today()-21, today()-1), , 2))"),"#N/A")</f>
        <v>#N/A</v>
      </c>
      <c r="J28" s="14" t="e">
        <f t="shared" ca="1" si="1"/>
        <v>#VALUE!</v>
      </c>
      <c r="K28" s="13" t="str">
        <f ca="1">IFERROR(__xludf.DUMMYFUNCTION("AVERAGE(index(GOOGLEFINANCE(""NSE:""&amp;$A28, ""close"", today()-6, today()-1), , 2))"),"#N/A")</f>
        <v>#N/A</v>
      </c>
      <c r="L28" s="13" t="str">
        <f ca="1">IFERROR(__xludf.DUMMYFUNCTION("AVERAGE(index(GOOGLEFINANCE(""NSE:""&amp;$A28, ""close"", today()-14, today()-1), , 2))"),"#N/A")</f>
        <v>#N/A</v>
      </c>
      <c r="M28" s="13" t="str">
        <f ca="1">IFERROR(__xludf.DUMMYFUNCTION("AVERAGE(index(GOOGLEFINANCE(""NSE:""&amp;$A28, ""close"", today()-22, today()-1), , 2))"),"#N/A")</f>
        <v>#N/A</v>
      </c>
      <c r="N28" s="13" t="str">
        <f t="shared" ca="1" si="2"/>
        <v>No_Action</v>
      </c>
      <c r="O28" s="13" t="str">
        <f t="shared" ca="1" si="3"/>
        <v>No_Action</v>
      </c>
      <c r="P28" s="13" t="str">
        <f t="shared" ca="1" si="4"/>
        <v>No_Action</v>
      </c>
      <c r="Q28" s="13" t="str">
        <f t="shared" ca="1" si="5"/>
        <v>No_Action</v>
      </c>
      <c r="R28" s="15"/>
      <c r="S28" s="15" t="str">
        <f t="shared" ca="1" si="6"/>
        <v>NoNo</v>
      </c>
      <c r="T28" s="15"/>
      <c r="U28" s="15">
        <f t="shared" ca="1" si="7"/>
        <v>0</v>
      </c>
      <c r="V28" s="15">
        <f t="shared" ca="1" si="8"/>
        <v>0</v>
      </c>
      <c r="W28" s="15" t="str">
        <f t="shared" ca="1" si="9"/>
        <v>No_Action</v>
      </c>
      <c r="X28" s="15"/>
      <c r="Y28" s="15" t="str">
        <f t="shared" ca="1" si="10"/>
        <v>No_Action</v>
      </c>
      <c r="Z28" s="15">
        <f t="shared" ca="1" si="11"/>
        <v>0</v>
      </c>
      <c r="AA28" s="15">
        <f t="shared" ca="1" si="12"/>
        <v>0</v>
      </c>
      <c r="AB28" s="15"/>
      <c r="AC28" s="15" t="str">
        <f t="shared" ca="1" si="13"/>
        <v>NoNo</v>
      </c>
      <c r="AD28" s="15"/>
      <c r="AE28" s="15">
        <f t="shared" ca="1" si="14"/>
        <v>0</v>
      </c>
      <c r="AF28" s="16">
        <f t="shared" ca="1" si="15"/>
        <v>0</v>
      </c>
      <c r="AG28" s="16" t="str">
        <f t="shared" ca="1" si="16"/>
        <v>No_Action</v>
      </c>
      <c r="AH28" s="15"/>
      <c r="AI28" s="15" t="str">
        <f t="shared" ca="1" si="17"/>
        <v>No_Action</v>
      </c>
      <c r="AJ28" s="15">
        <f t="shared" ca="1" si="18"/>
        <v>0</v>
      </c>
      <c r="AK28" s="15">
        <f t="shared" ca="1" si="19"/>
        <v>0</v>
      </c>
    </row>
    <row r="29" spans="1:37" ht="14.5" customHeight="1" x14ac:dyDescent="0.35">
      <c r="A29" s="12" t="s">
        <v>45</v>
      </c>
      <c r="B29" s="13">
        <f ca="1">IFERROR(__xludf.DUMMYFUNCTION("GOOGLEFINANCE(""NSE:""&amp;A29,""PRICE"")"),746.5)</f>
        <v>746.5</v>
      </c>
      <c r="C29" s="13">
        <f ca="1">IFERROR(__xludf.DUMMYFUNCTION("GOOGLEFINANCE(""NSE:""&amp;A29,""PRICEOPEN"")"),742.85)</f>
        <v>742.85</v>
      </c>
      <c r="D29" s="13">
        <f ca="1">IFERROR(__xludf.DUMMYFUNCTION("GOOGLEFINANCE(""NSE:""&amp;A29,""HIGH"")"),767.5)</f>
        <v>767.5</v>
      </c>
      <c r="E29" s="13">
        <f ca="1">IFERROR(__xludf.DUMMYFUNCTION("GOOGLEFINANCE(""NSE:""&amp;A29,""LOW"")"),740)</f>
        <v>740</v>
      </c>
      <c r="F29" s="13">
        <f ca="1">IFERROR(__xludf.DUMMYFUNCTION("GOOGLEFINANCE(""NSE:""&amp;A29,""closeyest"")"),749.15)</f>
        <v>749.15</v>
      </c>
      <c r="G29" s="14">
        <f t="shared" ca="1" si="0"/>
        <v>4.8894842598794066E-3</v>
      </c>
      <c r="H29" s="13">
        <f ca="1">IFERROR(__xludf.DUMMYFUNCTION("GOOGLEFINANCE(""NSE:""&amp;A29,""VOLUME"")"),233584)</f>
        <v>233584</v>
      </c>
      <c r="I29" s="13" t="str">
        <f ca="1">IFERROR(__xludf.DUMMYFUNCTION("AVERAGE(index(GOOGLEFINANCE(""NSE:""&amp;$A29, ""volume"", today()-21, today()-1), , 2))"),"#N/A")</f>
        <v>#N/A</v>
      </c>
      <c r="J29" s="14" t="e">
        <f t="shared" ca="1" si="1"/>
        <v>#VALUE!</v>
      </c>
      <c r="K29" s="13" t="str">
        <f ca="1">IFERROR(__xludf.DUMMYFUNCTION("AVERAGE(index(GOOGLEFINANCE(""NSE:""&amp;$A29, ""close"", today()-6, today()-1), , 2))"),"#N/A")</f>
        <v>#N/A</v>
      </c>
      <c r="L29" s="13" t="str">
        <f ca="1">IFERROR(__xludf.DUMMYFUNCTION("AVERAGE(index(GOOGLEFINANCE(""NSE:""&amp;$A29, ""close"", today()-14, today()-1), , 2))"),"#N/A")</f>
        <v>#N/A</v>
      </c>
      <c r="M29" s="13" t="str">
        <f ca="1">IFERROR(__xludf.DUMMYFUNCTION("AVERAGE(index(GOOGLEFINANCE(""NSE:""&amp;$A29, ""close"", today()-22, today()-1), , 2))"),"#N/A")</f>
        <v>#N/A</v>
      </c>
      <c r="N29" s="13" t="str">
        <f t="shared" ca="1" si="2"/>
        <v>No_Action</v>
      </c>
      <c r="O29" s="13" t="str">
        <f t="shared" ca="1" si="3"/>
        <v>No_Action</v>
      </c>
      <c r="P29" s="13" t="str">
        <f t="shared" ca="1" si="4"/>
        <v>No_Action</v>
      </c>
      <c r="Q29" s="13" t="str">
        <f t="shared" ca="1" si="5"/>
        <v>No_Action</v>
      </c>
      <c r="R29" s="15"/>
      <c r="S29" s="15" t="str">
        <f t="shared" ca="1" si="6"/>
        <v>NoNo</v>
      </c>
      <c r="T29" s="15"/>
      <c r="U29" s="15">
        <f t="shared" ca="1" si="7"/>
        <v>0</v>
      </c>
      <c r="V29" s="15">
        <f t="shared" ca="1" si="8"/>
        <v>0</v>
      </c>
      <c r="W29" s="15" t="str">
        <f t="shared" ca="1" si="9"/>
        <v>No_Action</v>
      </c>
      <c r="X29" s="15"/>
      <c r="Y29" s="15" t="str">
        <f t="shared" ca="1" si="10"/>
        <v>No_Action</v>
      </c>
      <c r="Z29" s="15">
        <f t="shared" ca="1" si="11"/>
        <v>0</v>
      </c>
      <c r="AA29" s="15">
        <f t="shared" ca="1" si="12"/>
        <v>0</v>
      </c>
      <c r="AB29" s="15"/>
      <c r="AC29" s="15" t="str">
        <f t="shared" ca="1" si="13"/>
        <v>NoNo</v>
      </c>
      <c r="AD29" s="15"/>
      <c r="AE29" s="15">
        <f t="shared" ca="1" si="14"/>
        <v>0</v>
      </c>
      <c r="AF29" s="16">
        <f t="shared" ca="1" si="15"/>
        <v>0</v>
      </c>
      <c r="AG29" s="16" t="str">
        <f t="shared" ca="1" si="16"/>
        <v>No_Action</v>
      </c>
      <c r="AH29" s="15"/>
      <c r="AI29" s="15" t="str">
        <f t="shared" ca="1" si="17"/>
        <v>No_Action</v>
      </c>
      <c r="AJ29" s="15">
        <f t="shared" ca="1" si="18"/>
        <v>0</v>
      </c>
      <c r="AK29" s="15">
        <f t="shared" ca="1" si="19"/>
        <v>0</v>
      </c>
    </row>
    <row r="30" spans="1:37" ht="14.5" customHeight="1" x14ac:dyDescent="0.35">
      <c r="A30" s="12" t="s">
        <v>46</v>
      </c>
      <c r="B30" s="13">
        <f ca="1">IFERROR(__xludf.DUMMYFUNCTION("GOOGLEFINANCE(""NSE:""&amp;A30,""PRICE"")"),2392.9)</f>
        <v>2392.9</v>
      </c>
      <c r="C30" s="13">
        <f ca="1">IFERROR(__xludf.DUMMYFUNCTION("GOOGLEFINANCE(""NSE:""&amp;A30,""PRICEOPEN"")"),2438.15)</f>
        <v>2438.15</v>
      </c>
      <c r="D30" s="13">
        <f ca="1">IFERROR(__xludf.DUMMYFUNCTION("GOOGLEFINANCE(""NSE:""&amp;A30,""HIGH"")"),2439)</f>
        <v>2439</v>
      </c>
      <c r="E30" s="13">
        <f ca="1">IFERROR(__xludf.DUMMYFUNCTION("GOOGLEFINANCE(""NSE:""&amp;A30,""LOW"")"),2387)</f>
        <v>2387</v>
      </c>
      <c r="F30" s="13">
        <f ca="1">IFERROR(__xludf.DUMMYFUNCTION("GOOGLEFINANCE(""NSE:""&amp;A30,""closeyest"")"),2429.7)</f>
        <v>2429.6999999999998</v>
      </c>
      <c r="G30" s="14">
        <f t="shared" ca="1" si="0"/>
        <v>-1.8910109072673324E-2</v>
      </c>
      <c r="H30" s="13">
        <f ca="1">IFERROR(__xludf.DUMMYFUNCTION("GOOGLEFINANCE(""NSE:""&amp;A30,""VOLUME"")"),2301291)</f>
        <v>2301291</v>
      </c>
      <c r="I30" s="13" t="str">
        <f ca="1">IFERROR(__xludf.DUMMYFUNCTION("AVERAGE(index(GOOGLEFINANCE(""NSE:""&amp;$A30, ""volume"", today()-21, today()-1), , 2))"),"#N/A")</f>
        <v>#N/A</v>
      </c>
      <c r="J30" s="14" t="e">
        <f t="shared" ca="1" si="1"/>
        <v>#VALUE!</v>
      </c>
      <c r="K30" s="13" t="str">
        <f ca="1">IFERROR(__xludf.DUMMYFUNCTION("AVERAGE(index(GOOGLEFINANCE(""NSE:""&amp;$A30, ""close"", today()-6, today()-1), , 2))"),"#N/A")</f>
        <v>#N/A</v>
      </c>
      <c r="L30" s="13" t="str">
        <f ca="1">IFERROR(__xludf.DUMMYFUNCTION("AVERAGE(index(GOOGLEFINANCE(""NSE:""&amp;$A30, ""close"", today()-14, today()-1), , 2))"),"#N/A")</f>
        <v>#N/A</v>
      </c>
      <c r="M30" s="13" t="str">
        <f ca="1">IFERROR(__xludf.DUMMYFUNCTION("AVERAGE(index(GOOGLEFINANCE(""NSE:""&amp;$A30, ""close"", today()-22, today()-1), , 2))"),"#N/A")</f>
        <v>#N/A</v>
      </c>
      <c r="N30" s="13" t="str">
        <f t="shared" ca="1" si="2"/>
        <v>No_Action</v>
      </c>
      <c r="O30" s="13" t="str">
        <f t="shared" ca="1" si="3"/>
        <v>No_Action</v>
      </c>
      <c r="P30" s="13" t="str">
        <f t="shared" ca="1" si="4"/>
        <v>No_Action</v>
      </c>
      <c r="Q30" s="13" t="str">
        <f t="shared" ca="1" si="5"/>
        <v>No_Action</v>
      </c>
      <c r="R30" s="15"/>
      <c r="S30" s="15" t="str">
        <f t="shared" ca="1" si="6"/>
        <v>NoNo</v>
      </c>
      <c r="T30" s="15"/>
      <c r="U30" s="15">
        <f t="shared" ca="1" si="7"/>
        <v>0</v>
      </c>
      <c r="V30" s="15">
        <f t="shared" ca="1" si="8"/>
        <v>0</v>
      </c>
      <c r="W30" s="15" t="str">
        <f t="shared" ca="1" si="9"/>
        <v>No_Action</v>
      </c>
      <c r="X30" s="15"/>
      <c r="Y30" s="15" t="str">
        <f t="shared" ca="1" si="10"/>
        <v>No_Action</v>
      </c>
      <c r="Z30" s="15">
        <f t="shared" ca="1" si="11"/>
        <v>0</v>
      </c>
      <c r="AA30" s="15">
        <f t="shared" ca="1" si="12"/>
        <v>0</v>
      </c>
      <c r="AB30" s="15"/>
      <c r="AC30" s="15" t="str">
        <f t="shared" ca="1" si="13"/>
        <v>NoNo</v>
      </c>
      <c r="AD30" s="15"/>
      <c r="AE30" s="15">
        <f t="shared" ca="1" si="14"/>
        <v>0</v>
      </c>
      <c r="AF30" s="16">
        <f t="shared" ca="1" si="15"/>
        <v>0</v>
      </c>
      <c r="AG30" s="16" t="str">
        <f t="shared" ca="1" si="16"/>
        <v>No_Action</v>
      </c>
      <c r="AH30" s="15"/>
      <c r="AI30" s="15" t="str">
        <f t="shared" ca="1" si="17"/>
        <v>No_Action</v>
      </c>
      <c r="AJ30" s="15">
        <f t="shared" ca="1" si="18"/>
        <v>0</v>
      </c>
      <c r="AK30" s="15">
        <f t="shared" ca="1" si="19"/>
        <v>0</v>
      </c>
    </row>
    <row r="31" spans="1:37" ht="14.5" customHeight="1" x14ac:dyDescent="0.35">
      <c r="A31" s="12" t="s">
        <v>47</v>
      </c>
      <c r="B31" s="13">
        <f ca="1">IFERROR(__xludf.DUMMYFUNCTION("GOOGLEFINANCE(""NSE:""&amp;A31,""PRICE"")"),793.1)</f>
        <v>793.1</v>
      </c>
      <c r="C31" s="13">
        <f ca="1">IFERROR(__xludf.DUMMYFUNCTION("GOOGLEFINANCE(""NSE:""&amp;A31,""PRICEOPEN"")"),797)</f>
        <v>797</v>
      </c>
      <c r="D31" s="13">
        <f ca="1">IFERROR(__xludf.DUMMYFUNCTION("GOOGLEFINANCE(""NSE:""&amp;A31,""HIGH"")"),807.1)</f>
        <v>807.1</v>
      </c>
      <c r="E31" s="13">
        <f ca="1">IFERROR(__xludf.DUMMYFUNCTION("GOOGLEFINANCE(""NSE:""&amp;A31,""LOW"")"),793)</f>
        <v>793</v>
      </c>
      <c r="F31" s="13">
        <f ca="1">IFERROR(__xludf.DUMMYFUNCTION("GOOGLEFINANCE(""NSE:""&amp;A31,""closeyest"")"),796.9)</f>
        <v>796.9</v>
      </c>
      <c r="G31" s="14">
        <f t="shared" ca="1" si="0"/>
        <v>-4.917412684402947E-3</v>
      </c>
      <c r="H31" s="13">
        <f ca="1">IFERROR(__xludf.DUMMYFUNCTION("GOOGLEFINANCE(""NSE:""&amp;A31,""VOLUME"")"),132996)</f>
        <v>132996</v>
      </c>
      <c r="I31" s="13" t="str">
        <f ca="1">IFERROR(__xludf.DUMMYFUNCTION("AVERAGE(index(GOOGLEFINANCE(""NSE:""&amp;$A31, ""volume"", today()-21, today()-1), , 2))"),"#N/A")</f>
        <v>#N/A</v>
      </c>
      <c r="J31" s="14" t="e">
        <f t="shared" ca="1" si="1"/>
        <v>#VALUE!</v>
      </c>
      <c r="K31" s="13" t="str">
        <f ca="1">IFERROR(__xludf.DUMMYFUNCTION("AVERAGE(index(GOOGLEFINANCE(""NSE:""&amp;$A31, ""close"", today()-6, today()-1), , 2))"),"#N/A")</f>
        <v>#N/A</v>
      </c>
      <c r="L31" s="13" t="str">
        <f ca="1">IFERROR(__xludf.DUMMYFUNCTION("AVERAGE(index(GOOGLEFINANCE(""NSE:""&amp;$A31, ""close"", today()-14, today()-1), , 2))"),"#N/A")</f>
        <v>#N/A</v>
      </c>
      <c r="M31" s="13" t="str">
        <f ca="1">IFERROR(__xludf.DUMMYFUNCTION("AVERAGE(index(GOOGLEFINANCE(""NSE:""&amp;$A31, ""close"", today()-22, today()-1), , 2))"),"#N/A")</f>
        <v>#N/A</v>
      </c>
      <c r="N31" s="13" t="str">
        <f t="shared" ca="1" si="2"/>
        <v>No_Action</v>
      </c>
      <c r="O31" s="13" t="str">
        <f t="shared" ca="1" si="3"/>
        <v>No_Action</v>
      </c>
      <c r="P31" s="13" t="str">
        <f t="shared" ca="1" si="4"/>
        <v>No_Action</v>
      </c>
      <c r="Q31" s="13" t="str">
        <f t="shared" ca="1" si="5"/>
        <v>No_Action</v>
      </c>
      <c r="R31" s="15"/>
      <c r="S31" s="15" t="str">
        <f t="shared" ca="1" si="6"/>
        <v>NoNo</v>
      </c>
      <c r="T31" s="15"/>
      <c r="U31" s="15">
        <f t="shared" ca="1" si="7"/>
        <v>0</v>
      </c>
      <c r="V31" s="15">
        <f t="shared" ca="1" si="8"/>
        <v>0</v>
      </c>
      <c r="W31" s="15" t="str">
        <f t="shared" ca="1" si="9"/>
        <v>No_Action</v>
      </c>
      <c r="X31" s="15"/>
      <c r="Y31" s="15" t="str">
        <f t="shared" ca="1" si="10"/>
        <v>No_Action</v>
      </c>
      <c r="Z31" s="15">
        <f t="shared" ca="1" si="11"/>
        <v>0</v>
      </c>
      <c r="AA31" s="15">
        <f t="shared" ca="1" si="12"/>
        <v>0</v>
      </c>
      <c r="AB31" s="15"/>
      <c r="AC31" s="15" t="str">
        <f t="shared" ca="1" si="13"/>
        <v>NoNo</v>
      </c>
      <c r="AD31" s="15"/>
      <c r="AE31" s="15">
        <f t="shared" ca="1" si="14"/>
        <v>0</v>
      </c>
      <c r="AF31" s="16">
        <f t="shared" ca="1" si="15"/>
        <v>0</v>
      </c>
      <c r="AG31" s="16" t="str">
        <f t="shared" ca="1" si="16"/>
        <v>No_Action</v>
      </c>
      <c r="AH31" s="15"/>
      <c r="AI31" s="15" t="str">
        <f t="shared" ca="1" si="17"/>
        <v>No_Action</v>
      </c>
      <c r="AJ31" s="15">
        <f t="shared" ca="1" si="18"/>
        <v>0</v>
      </c>
      <c r="AK31" s="15">
        <f t="shared" ca="1" si="19"/>
        <v>0</v>
      </c>
    </row>
    <row r="32" spans="1:37" ht="14.5" customHeight="1" x14ac:dyDescent="0.35">
      <c r="A32" s="12" t="s">
        <v>48</v>
      </c>
      <c r="B32" s="13">
        <f ca="1">IFERROR(__xludf.DUMMYFUNCTION("GOOGLEFINANCE(""NSE:""&amp;A32,""PRICE"")"),1849)</f>
        <v>1849</v>
      </c>
      <c r="C32" s="13">
        <f ca="1">IFERROR(__xludf.DUMMYFUNCTION("GOOGLEFINANCE(""NSE:""&amp;A32,""PRICEOPEN"")"),1849)</f>
        <v>1849</v>
      </c>
      <c r="D32" s="13">
        <f ca="1">IFERROR(__xludf.DUMMYFUNCTION("GOOGLEFINANCE(""NSE:""&amp;A32,""HIGH"")"),1858.8)</f>
        <v>1858.8</v>
      </c>
      <c r="E32" s="13">
        <f ca="1">IFERROR(__xludf.DUMMYFUNCTION("GOOGLEFINANCE(""NSE:""&amp;A32,""LOW"")"),1832)</f>
        <v>1832</v>
      </c>
      <c r="F32" s="13">
        <f ca="1">IFERROR(__xludf.DUMMYFUNCTION("GOOGLEFINANCE(""NSE:""&amp;A32,""closeyest"")"),1844.4)</f>
        <v>1844.4</v>
      </c>
      <c r="G32" s="14">
        <f t="shared" ca="1" si="0"/>
        <v>0</v>
      </c>
      <c r="H32" s="13">
        <f ca="1">IFERROR(__xludf.DUMMYFUNCTION("GOOGLEFINANCE(""NSE:""&amp;A32,""VOLUME"")"),305785)</f>
        <v>305785</v>
      </c>
      <c r="I32" s="13" t="str">
        <f ca="1">IFERROR(__xludf.DUMMYFUNCTION("AVERAGE(index(GOOGLEFINANCE(""NSE:""&amp;$A32, ""volume"", today()-21, today()-1), , 2))"),"#N/A")</f>
        <v>#N/A</v>
      </c>
      <c r="J32" s="14" t="e">
        <f t="shared" ca="1" si="1"/>
        <v>#VALUE!</v>
      </c>
      <c r="K32" s="13" t="str">
        <f ca="1">IFERROR(__xludf.DUMMYFUNCTION("AVERAGE(index(GOOGLEFINANCE(""NSE:""&amp;$A32, ""close"", today()-6, today()-1), , 2))"),"#N/A")</f>
        <v>#N/A</v>
      </c>
      <c r="L32" s="13" t="str">
        <f ca="1">IFERROR(__xludf.DUMMYFUNCTION("AVERAGE(index(GOOGLEFINANCE(""NSE:""&amp;$A32, ""close"", today()-14, today()-1), , 2))"),"#N/A")</f>
        <v>#N/A</v>
      </c>
      <c r="M32" s="13" t="str">
        <f ca="1">IFERROR(__xludf.DUMMYFUNCTION("AVERAGE(index(GOOGLEFINANCE(""NSE:""&amp;$A32, ""close"", today()-22, today()-1), , 2))"),"#N/A")</f>
        <v>#N/A</v>
      </c>
      <c r="N32" s="13" t="str">
        <f t="shared" ca="1" si="2"/>
        <v>No_Action</v>
      </c>
      <c r="O32" s="13" t="str">
        <f t="shared" ca="1" si="3"/>
        <v>No_Action</v>
      </c>
      <c r="P32" s="13" t="str">
        <f t="shared" ca="1" si="4"/>
        <v>No_Action</v>
      </c>
      <c r="Q32" s="13" t="str">
        <f t="shared" ca="1" si="5"/>
        <v>No_Action</v>
      </c>
      <c r="R32" s="15"/>
      <c r="S32" s="15" t="str">
        <f t="shared" ca="1" si="6"/>
        <v>NoNo</v>
      </c>
      <c r="T32" s="15"/>
      <c r="U32" s="15">
        <f t="shared" ca="1" si="7"/>
        <v>0</v>
      </c>
      <c r="V32" s="15">
        <f t="shared" ca="1" si="8"/>
        <v>0</v>
      </c>
      <c r="W32" s="15" t="str">
        <f t="shared" ca="1" si="9"/>
        <v>No_Action</v>
      </c>
      <c r="X32" s="15"/>
      <c r="Y32" s="15" t="str">
        <f t="shared" ca="1" si="10"/>
        <v>No_Action</v>
      </c>
      <c r="Z32" s="15">
        <f t="shared" ca="1" si="11"/>
        <v>0</v>
      </c>
      <c r="AA32" s="15">
        <f t="shared" ca="1" si="12"/>
        <v>0</v>
      </c>
      <c r="AB32" s="15"/>
      <c r="AC32" s="15" t="str">
        <f t="shared" ca="1" si="13"/>
        <v>NoNo</v>
      </c>
      <c r="AD32" s="15"/>
      <c r="AE32" s="15">
        <f t="shared" ca="1" si="14"/>
        <v>0</v>
      </c>
      <c r="AF32" s="16">
        <f t="shared" ca="1" si="15"/>
        <v>0</v>
      </c>
      <c r="AG32" s="16" t="str">
        <f t="shared" ca="1" si="16"/>
        <v>No_Action</v>
      </c>
      <c r="AH32" s="15"/>
      <c r="AI32" s="15" t="str">
        <f t="shared" ca="1" si="17"/>
        <v>No_Action</v>
      </c>
      <c r="AJ32" s="15">
        <f t="shared" ca="1" si="18"/>
        <v>0</v>
      </c>
      <c r="AK32" s="15">
        <f t="shared" ca="1" si="19"/>
        <v>0</v>
      </c>
    </row>
    <row r="33" spans="1:37" ht="14.5" customHeight="1" x14ac:dyDescent="0.35">
      <c r="A33" s="12" t="s">
        <v>49</v>
      </c>
      <c r="B33" s="13">
        <f ca="1">IFERROR(__xludf.DUMMYFUNCTION("GOOGLEFINANCE(""NSE:""&amp;A33,""PRICE"")"),1240.1)</f>
        <v>1240.0999999999999</v>
      </c>
      <c r="C33" s="13">
        <f ca="1">IFERROR(__xludf.DUMMYFUNCTION("GOOGLEFINANCE(""NSE:""&amp;A33,""PRICEOPEN"")"),1247.45)</f>
        <v>1247.45</v>
      </c>
      <c r="D33" s="13">
        <f ca="1">IFERROR(__xludf.DUMMYFUNCTION("GOOGLEFINANCE(""NSE:""&amp;A33,""HIGH"")"),1259)</f>
        <v>1259</v>
      </c>
      <c r="E33" s="13">
        <f ca="1">IFERROR(__xludf.DUMMYFUNCTION("GOOGLEFINANCE(""NSE:""&amp;A33,""LOW"")"),1237)</f>
        <v>1237</v>
      </c>
      <c r="F33" s="13">
        <f ca="1">IFERROR(__xludf.DUMMYFUNCTION("GOOGLEFINANCE(""NSE:""&amp;A33,""closeyest"")"),1246.2)</f>
        <v>1246.2</v>
      </c>
      <c r="G33" s="14">
        <f t="shared" ca="1" si="0"/>
        <v>-5.9269413756956185E-3</v>
      </c>
      <c r="H33" s="13">
        <f ca="1">IFERROR(__xludf.DUMMYFUNCTION("GOOGLEFINANCE(""NSE:""&amp;A33,""VOLUME"")"),539265)</f>
        <v>539265</v>
      </c>
      <c r="I33" s="13" t="str">
        <f ca="1">IFERROR(__xludf.DUMMYFUNCTION("AVERAGE(index(GOOGLEFINANCE(""NSE:""&amp;$A33, ""volume"", today()-21, today()-1), , 2))"),"#N/A")</f>
        <v>#N/A</v>
      </c>
      <c r="J33" s="14" t="e">
        <f t="shared" ca="1" si="1"/>
        <v>#VALUE!</v>
      </c>
      <c r="K33" s="13" t="str">
        <f ca="1">IFERROR(__xludf.DUMMYFUNCTION("AVERAGE(index(GOOGLEFINANCE(""NSE:""&amp;$A33, ""close"", today()-6, today()-1), , 2))"),"#N/A")</f>
        <v>#N/A</v>
      </c>
      <c r="L33" s="13" t="str">
        <f ca="1">IFERROR(__xludf.DUMMYFUNCTION("AVERAGE(index(GOOGLEFINANCE(""NSE:""&amp;$A33, ""close"", today()-14, today()-1), , 2))"),"#N/A")</f>
        <v>#N/A</v>
      </c>
      <c r="M33" s="13" t="str">
        <f ca="1">IFERROR(__xludf.DUMMYFUNCTION("AVERAGE(index(GOOGLEFINANCE(""NSE:""&amp;$A33, ""close"", today()-22, today()-1), , 2))"),"#N/A")</f>
        <v>#N/A</v>
      </c>
      <c r="N33" s="13" t="str">
        <f t="shared" ca="1" si="2"/>
        <v>No_Action</v>
      </c>
      <c r="O33" s="13" t="str">
        <f t="shared" ca="1" si="3"/>
        <v>No_Action</v>
      </c>
      <c r="P33" s="13" t="str">
        <f t="shared" ca="1" si="4"/>
        <v>No_Action</v>
      </c>
      <c r="Q33" s="13" t="str">
        <f t="shared" ca="1" si="5"/>
        <v>No_Action</v>
      </c>
      <c r="R33" s="15"/>
      <c r="S33" s="15" t="str">
        <f t="shared" ca="1" si="6"/>
        <v>NoNo</v>
      </c>
      <c r="T33" s="15"/>
      <c r="U33" s="15">
        <f t="shared" ca="1" si="7"/>
        <v>0</v>
      </c>
      <c r="V33" s="15">
        <f t="shared" ca="1" si="8"/>
        <v>0</v>
      </c>
      <c r="W33" s="15" t="str">
        <f t="shared" ca="1" si="9"/>
        <v>No_Action</v>
      </c>
      <c r="X33" s="15"/>
      <c r="Y33" s="15" t="str">
        <f t="shared" ca="1" si="10"/>
        <v>No_Action</v>
      </c>
      <c r="Z33" s="15">
        <f t="shared" ca="1" si="11"/>
        <v>0</v>
      </c>
      <c r="AA33" s="15">
        <f t="shared" ca="1" si="12"/>
        <v>0</v>
      </c>
      <c r="AB33" s="15"/>
      <c r="AC33" s="15" t="str">
        <f t="shared" ca="1" si="13"/>
        <v>NoNo</v>
      </c>
      <c r="AD33" s="15"/>
      <c r="AE33" s="15">
        <f t="shared" ca="1" si="14"/>
        <v>0</v>
      </c>
      <c r="AF33" s="16">
        <f t="shared" ca="1" si="15"/>
        <v>0</v>
      </c>
      <c r="AG33" s="16" t="str">
        <f t="shared" ca="1" si="16"/>
        <v>No_Action</v>
      </c>
      <c r="AH33" s="15"/>
      <c r="AI33" s="15" t="str">
        <f t="shared" ca="1" si="17"/>
        <v>No_Action</v>
      </c>
      <c r="AJ33" s="15">
        <f t="shared" ca="1" si="18"/>
        <v>0</v>
      </c>
      <c r="AK33" s="15">
        <f t="shared" ca="1" si="19"/>
        <v>0</v>
      </c>
    </row>
    <row r="34" spans="1:37" ht="14.5" customHeight="1" x14ac:dyDescent="0.35">
      <c r="A34" s="12" t="s">
        <v>50</v>
      </c>
      <c r="B34" s="13">
        <f ca="1">IFERROR(__xludf.DUMMYFUNCTION("GOOGLEFINANCE(""NSE:""&amp;A34,""PRICE"")"),1715)</f>
        <v>1715</v>
      </c>
      <c r="C34" s="13">
        <f ca="1">IFERROR(__xludf.DUMMYFUNCTION("GOOGLEFINANCE(""NSE:""&amp;A34,""PRICEOPEN"")"),1667.95)</f>
        <v>1667.95</v>
      </c>
      <c r="D34" s="13">
        <f ca="1">IFERROR(__xludf.DUMMYFUNCTION("GOOGLEFINANCE(""NSE:""&amp;A34,""HIGH"")"),1727.75)</f>
        <v>1727.75</v>
      </c>
      <c r="E34" s="13">
        <f ca="1">IFERROR(__xludf.DUMMYFUNCTION("GOOGLEFINANCE(""NSE:""&amp;A34,""LOW"")"),1643.1)</f>
        <v>1643.1</v>
      </c>
      <c r="F34" s="13">
        <f ca="1">IFERROR(__xludf.DUMMYFUNCTION("GOOGLEFINANCE(""NSE:""&amp;A34,""closeyest"")"),1654.95)</f>
        <v>1654.95</v>
      </c>
      <c r="G34" s="14">
        <f t="shared" ca="1" si="0"/>
        <v>2.7434402332361489E-2</v>
      </c>
      <c r="H34" s="13">
        <f ca="1">IFERROR(__xludf.DUMMYFUNCTION("GOOGLEFINANCE(""NSE:""&amp;A34,""VOLUME"")"),51347)</f>
        <v>51347</v>
      </c>
      <c r="I34" s="13" t="str">
        <f ca="1">IFERROR(__xludf.DUMMYFUNCTION("AVERAGE(index(GOOGLEFINANCE(""NSE:""&amp;$A34, ""volume"", today()-21, today()-1), , 2))"),"#N/A")</f>
        <v>#N/A</v>
      </c>
      <c r="J34" s="14" t="e">
        <f t="shared" ca="1" si="1"/>
        <v>#VALUE!</v>
      </c>
      <c r="K34" s="13" t="str">
        <f ca="1">IFERROR(__xludf.DUMMYFUNCTION("AVERAGE(index(GOOGLEFINANCE(""NSE:""&amp;$A34, ""close"", today()-6, today()-1), , 2))"),"#N/A")</f>
        <v>#N/A</v>
      </c>
      <c r="L34" s="13" t="str">
        <f ca="1">IFERROR(__xludf.DUMMYFUNCTION("AVERAGE(index(GOOGLEFINANCE(""NSE:""&amp;$A34, ""close"", today()-14, today()-1), , 2))"),"#N/A")</f>
        <v>#N/A</v>
      </c>
      <c r="M34" s="13" t="str">
        <f ca="1">IFERROR(__xludf.DUMMYFUNCTION("AVERAGE(index(GOOGLEFINANCE(""NSE:""&amp;$A34, ""close"", today()-22, today()-1), , 2))"),"#N/A")</f>
        <v>#N/A</v>
      </c>
      <c r="N34" s="13" t="str">
        <f t="shared" ca="1" si="2"/>
        <v>No_Action</v>
      </c>
      <c r="O34" s="13" t="str">
        <f t="shared" ca="1" si="3"/>
        <v>No_Action</v>
      </c>
      <c r="P34" s="13" t="str">
        <f t="shared" ca="1" si="4"/>
        <v>No_Action</v>
      </c>
      <c r="Q34" s="13" t="str">
        <f t="shared" ca="1" si="5"/>
        <v>No_Action</v>
      </c>
      <c r="R34" s="15"/>
      <c r="S34" s="15" t="str">
        <f t="shared" ca="1" si="6"/>
        <v>NoNo</v>
      </c>
      <c r="T34" s="15"/>
      <c r="U34" s="15">
        <f t="shared" ca="1" si="7"/>
        <v>0</v>
      </c>
      <c r="V34" s="15">
        <f t="shared" ca="1" si="8"/>
        <v>0</v>
      </c>
      <c r="W34" s="15" t="str">
        <f t="shared" ca="1" si="9"/>
        <v>No_Action</v>
      </c>
      <c r="X34" s="15"/>
      <c r="Y34" s="15" t="str">
        <f t="shared" ca="1" si="10"/>
        <v>No_Action</v>
      </c>
      <c r="Z34" s="15">
        <f t="shared" ca="1" si="11"/>
        <v>0</v>
      </c>
      <c r="AA34" s="15">
        <f t="shared" ca="1" si="12"/>
        <v>0</v>
      </c>
      <c r="AB34" s="15"/>
      <c r="AC34" s="15" t="str">
        <f t="shared" ca="1" si="13"/>
        <v>NoNo</v>
      </c>
      <c r="AD34" s="15"/>
      <c r="AE34" s="15">
        <f t="shared" ca="1" si="14"/>
        <v>0</v>
      </c>
      <c r="AF34" s="16">
        <f t="shared" ca="1" si="15"/>
        <v>0</v>
      </c>
      <c r="AG34" s="16" t="str">
        <f t="shared" ca="1" si="16"/>
        <v>No_Action</v>
      </c>
      <c r="AH34" s="15"/>
      <c r="AI34" s="15" t="str">
        <f t="shared" ca="1" si="17"/>
        <v>No_Action</v>
      </c>
      <c r="AJ34" s="15">
        <f t="shared" ca="1" si="18"/>
        <v>0</v>
      </c>
      <c r="AK34" s="15">
        <f t="shared" ca="1" si="19"/>
        <v>0</v>
      </c>
    </row>
    <row r="35" spans="1:37" ht="14.5" customHeight="1" x14ac:dyDescent="0.35">
      <c r="A35" s="12" t="s">
        <v>51</v>
      </c>
      <c r="B35" s="13">
        <f ca="1">IFERROR(__xludf.DUMMYFUNCTION("GOOGLEFINANCE(""NSE:""&amp;A35,""PRICE"")"),80.3)</f>
        <v>80.3</v>
      </c>
      <c r="C35" s="13">
        <f ca="1">IFERROR(__xludf.DUMMYFUNCTION("GOOGLEFINANCE(""NSE:""&amp;A35,""PRICEOPEN"")"),79.25)</f>
        <v>79.25</v>
      </c>
      <c r="D35" s="13">
        <f ca="1">IFERROR(__xludf.DUMMYFUNCTION("GOOGLEFINANCE(""NSE:""&amp;A35,""HIGH"")"),81.95)</f>
        <v>81.95</v>
      </c>
      <c r="E35" s="13">
        <f ca="1">IFERROR(__xludf.DUMMYFUNCTION("GOOGLEFINANCE(""NSE:""&amp;A35,""LOW"")"),79.25)</f>
        <v>79.25</v>
      </c>
      <c r="F35" s="13">
        <f ca="1">IFERROR(__xludf.DUMMYFUNCTION("GOOGLEFINANCE(""NSE:""&amp;A35,""closeyest"")"),80.14)</f>
        <v>80.14</v>
      </c>
      <c r="G35" s="14">
        <f t="shared" ca="1" si="0"/>
        <v>1.3075965130759617E-2</v>
      </c>
      <c r="H35" s="13">
        <f ca="1">IFERROR(__xludf.DUMMYFUNCTION("GOOGLEFINANCE(""NSE:""&amp;A35,""VOLUME"")"),60399)</f>
        <v>60399</v>
      </c>
      <c r="I35" s="13" t="str">
        <f ca="1">IFERROR(__xludf.DUMMYFUNCTION("AVERAGE(index(GOOGLEFINANCE(""NSE:""&amp;$A35, ""volume"", today()-21, today()-1), , 2))"),"#N/A")</f>
        <v>#N/A</v>
      </c>
      <c r="J35" s="14" t="e">
        <f t="shared" ca="1" si="1"/>
        <v>#VALUE!</v>
      </c>
      <c r="K35" s="13" t="str">
        <f ca="1">IFERROR(__xludf.DUMMYFUNCTION("AVERAGE(index(GOOGLEFINANCE(""NSE:""&amp;$A35, ""close"", today()-6, today()-1), , 2))"),"#N/A")</f>
        <v>#N/A</v>
      </c>
      <c r="L35" s="13" t="str">
        <f ca="1">IFERROR(__xludf.DUMMYFUNCTION("AVERAGE(index(GOOGLEFINANCE(""NSE:""&amp;$A35, ""close"", today()-14, today()-1), , 2))"),"#N/A")</f>
        <v>#N/A</v>
      </c>
      <c r="M35" s="13" t="str">
        <f ca="1">IFERROR(__xludf.DUMMYFUNCTION("AVERAGE(index(GOOGLEFINANCE(""NSE:""&amp;$A35, ""close"", today()-22, today()-1), , 2))"),"#N/A")</f>
        <v>#N/A</v>
      </c>
      <c r="N35" s="13" t="str">
        <f t="shared" ca="1" si="2"/>
        <v>No_Action</v>
      </c>
      <c r="O35" s="13" t="str">
        <f t="shared" ca="1" si="3"/>
        <v>No_Action</v>
      </c>
      <c r="P35" s="13" t="str">
        <f t="shared" ca="1" si="4"/>
        <v>No_Action</v>
      </c>
      <c r="Q35" s="13" t="str">
        <f t="shared" ca="1" si="5"/>
        <v>No_Action</v>
      </c>
      <c r="R35" s="15"/>
      <c r="S35" s="15" t="str">
        <f t="shared" ca="1" si="6"/>
        <v>NoNo</v>
      </c>
      <c r="T35" s="15"/>
      <c r="U35" s="15">
        <f t="shared" ca="1" si="7"/>
        <v>0</v>
      </c>
      <c r="V35" s="15">
        <f t="shared" ca="1" si="8"/>
        <v>0</v>
      </c>
      <c r="W35" s="15" t="str">
        <f t="shared" ca="1" si="9"/>
        <v>No_Action</v>
      </c>
      <c r="X35" s="15"/>
      <c r="Y35" s="15" t="str">
        <f t="shared" ca="1" si="10"/>
        <v>No_Action</v>
      </c>
      <c r="Z35" s="15">
        <f t="shared" ca="1" si="11"/>
        <v>0</v>
      </c>
      <c r="AA35" s="15">
        <f t="shared" ca="1" si="12"/>
        <v>0</v>
      </c>
      <c r="AB35" s="15"/>
      <c r="AC35" s="15" t="str">
        <f t="shared" ca="1" si="13"/>
        <v>NoNo</v>
      </c>
      <c r="AD35" s="15"/>
      <c r="AE35" s="15">
        <f t="shared" ca="1" si="14"/>
        <v>0</v>
      </c>
      <c r="AF35" s="16">
        <f t="shared" ca="1" si="15"/>
        <v>0</v>
      </c>
      <c r="AG35" s="16" t="str">
        <f t="shared" ca="1" si="16"/>
        <v>No_Action</v>
      </c>
      <c r="AH35" s="15"/>
      <c r="AI35" s="15" t="str">
        <f t="shared" ca="1" si="17"/>
        <v>No_Action</v>
      </c>
      <c r="AJ35" s="15">
        <f t="shared" ca="1" si="18"/>
        <v>0</v>
      </c>
      <c r="AK35" s="15">
        <f t="shared" ca="1" si="19"/>
        <v>0</v>
      </c>
    </row>
    <row r="36" spans="1:37" ht="14.5" customHeight="1" x14ac:dyDescent="0.35">
      <c r="A36" s="12" t="s">
        <v>52</v>
      </c>
      <c r="B36" s="13">
        <f ca="1">IFERROR(__xludf.DUMMYFUNCTION("GOOGLEFINANCE(""NSE:""&amp;A36,""PRICE"")"),1167.9)</f>
        <v>1167.9000000000001</v>
      </c>
      <c r="C36" s="13">
        <f ca="1">IFERROR(__xludf.DUMMYFUNCTION("GOOGLEFINANCE(""NSE:""&amp;A36,""PRICEOPEN"")"),1184.25)</f>
        <v>1184.25</v>
      </c>
      <c r="D36" s="13">
        <f ca="1">IFERROR(__xludf.DUMMYFUNCTION("GOOGLEFINANCE(""NSE:""&amp;A36,""HIGH"")"),1186)</f>
        <v>1186</v>
      </c>
      <c r="E36" s="13">
        <f ca="1">IFERROR(__xludf.DUMMYFUNCTION("GOOGLEFINANCE(""NSE:""&amp;A36,""LOW"")"),1161)</f>
        <v>1161</v>
      </c>
      <c r="F36" s="13">
        <f ca="1">IFERROR(__xludf.DUMMYFUNCTION("GOOGLEFINANCE(""NSE:""&amp;A36,""closeyest"")"),1184.55)</f>
        <v>1184.55</v>
      </c>
      <c r="G36" s="14">
        <f t="shared" ca="1" si="0"/>
        <v>-1.3999486257384971E-2</v>
      </c>
      <c r="H36" s="13">
        <f ca="1">IFERROR(__xludf.DUMMYFUNCTION("GOOGLEFINANCE(""NSE:""&amp;A36,""VOLUME"")"),6308112)</f>
        <v>6308112</v>
      </c>
      <c r="I36" s="13" t="str">
        <f ca="1">IFERROR(__xludf.DUMMYFUNCTION("AVERAGE(index(GOOGLEFINANCE(""NSE:""&amp;$A36, ""volume"", today()-21, today()-1), , 2))"),"#N/A")</f>
        <v>#N/A</v>
      </c>
      <c r="J36" s="14" t="e">
        <f t="shared" ca="1" si="1"/>
        <v>#VALUE!</v>
      </c>
      <c r="K36" s="13" t="str">
        <f ca="1">IFERROR(__xludf.DUMMYFUNCTION("AVERAGE(index(GOOGLEFINANCE(""NSE:""&amp;$A36, ""close"", today()-6, today()-1), , 2))"),"#N/A")</f>
        <v>#N/A</v>
      </c>
      <c r="L36" s="13" t="str">
        <f ca="1">IFERROR(__xludf.DUMMYFUNCTION("AVERAGE(index(GOOGLEFINANCE(""NSE:""&amp;$A36, ""close"", today()-14, today()-1), , 2))"),"#N/A")</f>
        <v>#N/A</v>
      </c>
      <c r="M36" s="13" t="str">
        <f ca="1">IFERROR(__xludf.DUMMYFUNCTION("AVERAGE(index(GOOGLEFINANCE(""NSE:""&amp;$A36, ""close"", today()-22, today()-1), , 2))"),"#N/A")</f>
        <v>#N/A</v>
      </c>
      <c r="N36" s="13" t="str">
        <f t="shared" ca="1" si="2"/>
        <v>No_Action</v>
      </c>
      <c r="O36" s="13" t="str">
        <f t="shared" ca="1" si="3"/>
        <v>No_Action</v>
      </c>
      <c r="P36" s="13" t="str">
        <f t="shared" ca="1" si="4"/>
        <v>No_Action</v>
      </c>
      <c r="Q36" s="13" t="str">
        <f t="shared" ca="1" si="5"/>
        <v>No_Action</v>
      </c>
      <c r="R36" s="15"/>
      <c r="S36" s="15" t="str">
        <f t="shared" ca="1" si="6"/>
        <v>NoNo</v>
      </c>
      <c r="T36" s="15"/>
      <c r="U36" s="15">
        <f t="shared" ca="1" si="7"/>
        <v>0</v>
      </c>
      <c r="V36" s="15">
        <f t="shared" ca="1" si="8"/>
        <v>0</v>
      </c>
      <c r="W36" s="15" t="str">
        <f t="shared" ca="1" si="9"/>
        <v>No_Action</v>
      </c>
      <c r="X36" s="15"/>
      <c r="Y36" s="15" t="str">
        <f t="shared" ca="1" si="10"/>
        <v>No_Action</v>
      </c>
      <c r="Z36" s="15">
        <f t="shared" ca="1" si="11"/>
        <v>0</v>
      </c>
      <c r="AA36" s="15">
        <f t="shared" ca="1" si="12"/>
        <v>0</v>
      </c>
      <c r="AB36" s="15"/>
      <c r="AC36" s="15" t="str">
        <f t="shared" ca="1" si="13"/>
        <v>NoNo</v>
      </c>
      <c r="AD36" s="15"/>
      <c r="AE36" s="15">
        <f t="shared" ca="1" si="14"/>
        <v>0</v>
      </c>
      <c r="AF36" s="16">
        <f t="shared" ca="1" si="15"/>
        <v>0</v>
      </c>
      <c r="AG36" s="16" t="str">
        <f t="shared" ca="1" si="16"/>
        <v>No_Action</v>
      </c>
      <c r="AH36" s="15"/>
      <c r="AI36" s="15" t="str">
        <f t="shared" ca="1" si="17"/>
        <v>No_Action</v>
      </c>
      <c r="AJ36" s="15">
        <f t="shared" ca="1" si="18"/>
        <v>0</v>
      </c>
      <c r="AK36" s="15">
        <f t="shared" ca="1" si="19"/>
        <v>0</v>
      </c>
    </row>
    <row r="37" spans="1:37" ht="14.5" customHeight="1" x14ac:dyDescent="0.35">
      <c r="A37" s="12" t="s">
        <v>53</v>
      </c>
      <c r="B37" s="13">
        <f ca="1">IFERROR(__xludf.DUMMYFUNCTION("GOOGLEFINANCE(""NSE:""&amp;A37,""PRICE"")"),9072.95)</f>
        <v>9072.9500000000007</v>
      </c>
      <c r="C37" s="13">
        <f ca="1">IFERROR(__xludf.DUMMYFUNCTION("GOOGLEFINANCE(""NSE:""&amp;A37,""PRICEOPEN"")"),9096)</f>
        <v>9096</v>
      </c>
      <c r="D37" s="13">
        <f ca="1">IFERROR(__xludf.DUMMYFUNCTION("GOOGLEFINANCE(""NSE:""&amp;A37,""HIGH"")"),9171)</f>
        <v>9171</v>
      </c>
      <c r="E37" s="13">
        <f ca="1">IFERROR(__xludf.DUMMYFUNCTION("GOOGLEFINANCE(""NSE:""&amp;A37,""LOW"")"),9026.4)</f>
        <v>9026.4</v>
      </c>
      <c r="F37" s="13">
        <f ca="1">IFERROR(__xludf.DUMMYFUNCTION("GOOGLEFINANCE(""NSE:""&amp;A37,""closeyest"")"),9099.9)</f>
        <v>9099.9</v>
      </c>
      <c r="G37" s="14">
        <f t="shared" ca="1" si="0"/>
        <v>-2.5405187948792035E-3</v>
      </c>
      <c r="H37" s="13">
        <f ca="1">IFERROR(__xludf.DUMMYFUNCTION("GOOGLEFINANCE(""NSE:""&amp;A37,""VOLUME"")"),304202)</f>
        <v>304202</v>
      </c>
      <c r="I37" s="13" t="str">
        <f ca="1">IFERROR(__xludf.DUMMYFUNCTION("AVERAGE(index(GOOGLEFINANCE(""NSE:""&amp;$A37, ""volume"", today()-21, today()-1), , 2))"),"#N/A")</f>
        <v>#N/A</v>
      </c>
      <c r="J37" s="14" t="e">
        <f t="shared" ca="1" si="1"/>
        <v>#VALUE!</v>
      </c>
      <c r="K37" s="13" t="str">
        <f ca="1">IFERROR(__xludf.DUMMYFUNCTION("AVERAGE(index(GOOGLEFINANCE(""NSE:""&amp;$A37, ""close"", today()-6, today()-1), , 2))"),"#N/A")</f>
        <v>#N/A</v>
      </c>
      <c r="L37" s="13" t="str">
        <f ca="1">IFERROR(__xludf.DUMMYFUNCTION("AVERAGE(index(GOOGLEFINANCE(""NSE:""&amp;$A37, ""close"", today()-14, today()-1), , 2))"),"#N/A")</f>
        <v>#N/A</v>
      </c>
      <c r="M37" s="13" t="str">
        <f ca="1">IFERROR(__xludf.DUMMYFUNCTION("AVERAGE(index(GOOGLEFINANCE(""NSE:""&amp;$A37, ""close"", today()-22, today()-1), , 2))"),"#N/A")</f>
        <v>#N/A</v>
      </c>
      <c r="N37" s="13" t="str">
        <f t="shared" ca="1" si="2"/>
        <v>No_Action</v>
      </c>
      <c r="O37" s="13" t="str">
        <f t="shared" ca="1" si="3"/>
        <v>No_Action</v>
      </c>
      <c r="P37" s="13" t="str">
        <f t="shared" ca="1" si="4"/>
        <v>No_Action</v>
      </c>
      <c r="Q37" s="13" t="str">
        <f t="shared" ca="1" si="5"/>
        <v>No_Action</v>
      </c>
      <c r="R37" s="15"/>
      <c r="S37" s="15" t="str">
        <f t="shared" ca="1" si="6"/>
        <v>NoNo</v>
      </c>
      <c r="T37" s="15"/>
      <c r="U37" s="15">
        <f t="shared" ca="1" si="7"/>
        <v>0</v>
      </c>
      <c r="V37" s="15">
        <f t="shared" ca="1" si="8"/>
        <v>0</v>
      </c>
      <c r="W37" s="15" t="str">
        <f t="shared" ca="1" si="9"/>
        <v>No_Action</v>
      </c>
      <c r="X37" s="15"/>
      <c r="Y37" s="15" t="str">
        <f t="shared" ca="1" si="10"/>
        <v>No_Action</v>
      </c>
      <c r="Z37" s="15">
        <f t="shared" ca="1" si="11"/>
        <v>0</v>
      </c>
      <c r="AA37" s="15">
        <f t="shared" ca="1" si="12"/>
        <v>0</v>
      </c>
      <c r="AB37" s="15"/>
      <c r="AC37" s="15" t="str">
        <f t="shared" ca="1" si="13"/>
        <v>NoNo</v>
      </c>
      <c r="AD37" s="15"/>
      <c r="AE37" s="15">
        <f t="shared" ca="1" si="14"/>
        <v>0</v>
      </c>
      <c r="AF37" s="16">
        <f t="shared" ca="1" si="15"/>
        <v>0</v>
      </c>
      <c r="AG37" s="16" t="str">
        <f t="shared" ca="1" si="16"/>
        <v>No_Action</v>
      </c>
      <c r="AH37" s="15"/>
      <c r="AI37" s="15" t="str">
        <f t="shared" ca="1" si="17"/>
        <v>No_Action</v>
      </c>
      <c r="AJ37" s="15">
        <f t="shared" ca="1" si="18"/>
        <v>0</v>
      </c>
      <c r="AK37" s="15">
        <f t="shared" ca="1" si="19"/>
        <v>0</v>
      </c>
    </row>
    <row r="38" spans="1:37" ht="14.5" customHeight="1" x14ac:dyDescent="0.35">
      <c r="A38" s="12" t="s">
        <v>54</v>
      </c>
      <c r="B38" s="13">
        <f ca="1">IFERROR(__xludf.DUMMYFUNCTION("GOOGLEFINANCE(""NSE:""&amp;A38,""PRICE"")"),207.9)</f>
        <v>207.9</v>
      </c>
      <c r="C38" s="13">
        <f ca="1">IFERROR(__xludf.DUMMYFUNCTION("GOOGLEFINANCE(""NSE:""&amp;A38,""PRICEOPEN"")"),204.38)</f>
        <v>204.38</v>
      </c>
      <c r="D38" s="13">
        <f ca="1">IFERROR(__xludf.DUMMYFUNCTION("GOOGLEFINANCE(""NSE:""&amp;A38,""HIGH"")"),208)</f>
        <v>208</v>
      </c>
      <c r="E38" s="13">
        <f ca="1">IFERROR(__xludf.DUMMYFUNCTION("GOOGLEFINANCE(""NSE:""&amp;A38,""LOW"")"),204.38)</f>
        <v>204.38</v>
      </c>
      <c r="F38" s="13">
        <f ca="1">IFERROR(__xludf.DUMMYFUNCTION("GOOGLEFINANCE(""NSE:""&amp;A38,""closeyest"")"),203.6)</f>
        <v>203.6</v>
      </c>
      <c r="G38" s="14">
        <f t="shared" ca="1" si="0"/>
        <v>1.6931216931216981E-2</v>
      </c>
      <c r="H38" s="13">
        <f ca="1">IFERROR(__xludf.DUMMYFUNCTION("GOOGLEFINANCE(""NSE:""&amp;A38,""VOLUME"")"),237820)</f>
        <v>237820</v>
      </c>
      <c r="I38" s="13" t="str">
        <f ca="1">IFERROR(__xludf.DUMMYFUNCTION("AVERAGE(index(GOOGLEFINANCE(""NSE:""&amp;$A38, ""volume"", today()-21, today()-1), , 2))"),"#N/A")</f>
        <v>#N/A</v>
      </c>
      <c r="J38" s="14" t="e">
        <f t="shared" ca="1" si="1"/>
        <v>#VALUE!</v>
      </c>
      <c r="K38" s="13" t="str">
        <f ca="1">IFERROR(__xludf.DUMMYFUNCTION("AVERAGE(index(GOOGLEFINANCE(""NSE:""&amp;$A38, ""close"", today()-6, today()-1), , 2))"),"#N/A")</f>
        <v>#N/A</v>
      </c>
      <c r="L38" s="13" t="str">
        <f ca="1">IFERROR(__xludf.DUMMYFUNCTION("AVERAGE(index(GOOGLEFINANCE(""NSE:""&amp;$A38, ""close"", today()-14, today()-1), , 2))"),"#N/A")</f>
        <v>#N/A</v>
      </c>
      <c r="M38" s="13" t="str">
        <f ca="1">IFERROR(__xludf.DUMMYFUNCTION("AVERAGE(index(GOOGLEFINANCE(""NSE:""&amp;$A38, ""close"", today()-22, today()-1), , 2))"),"#N/A")</f>
        <v>#N/A</v>
      </c>
      <c r="N38" s="13" t="str">
        <f t="shared" ca="1" si="2"/>
        <v>No_Action</v>
      </c>
      <c r="O38" s="13" t="str">
        <f t="shared" ca="1" si="3"/>
        <v>No_Action</v>
      </c>
      <c r="P38" s="13" t="str">
        <f t="shared" ca="1" si="4"/>
        <v>No_Action</v>
      </c>
      <c r="Q38" s="13" t="str">
        <f t="shared" ca="1" si="5"/>
        <v>No_Action</v>
      </c>
      <c r="R38" s="15"/>
      <c r="S38" s="15" t="str">
        <f t="shared" ca="1" si="6"/>
        <v>NoNo</v>
      </c>
      <c r="T38" s="15"/>
      <c r="U38" s="15">
        <f t="shared" ca="1" si="7"/>
        <v>0</v>
      </c>
      <c r="V38" s="15">
        <f t="shared" ca="1" si="8"/>
        <v>0</v>
      </c>
      <c r="W38" s="15" t="str">
        <f t="shared" ca="1" si="9"/>
        <v>No_Action</v>
      </c>
      <c r="X38" s="15"/>
      <c r="Y38" s="15" t="str">
        <f t="shared" ca="1" si="10"/>
        <v>No_Action</v>
      </c>
      <c r="Z38" s="15">
        <f t="shared" ca="1" si="11"/>
        <v>0</v>
      </c>
      <c r="AA38" s="15">
        <f t="shared" ca="1" si="12"/>
        <v>0</v>
      </c>
      <c r="AB38" s="15"/>
      <c r="AC38" s="15" t="str">
        <f t="shared" ca="1" si="13"/>
        <v>NoNo</v>
      </c>
      <c r="AD38" s="15"/>
      <c r="AE38" s="15">
        <f t="shared" ca="1" si="14"/>
        <v>0</v>
      </c>
      <c r="AF38" s="16">
        <f t="shared" ca="1" si="15"/>
        <v>0</v>
      </c>
      <c r="AG38" s="16" t="str">
        <f t="shared" ca="1" si="16"/>
        <v>No_Action</v>
      </c>
      <c r="AH38" s="15"/>
      <c r="AI38" s="15" t="str">
        <f t="shared" ca="1" si="17"/>
        <v>No_Action</v>
      </c>
      <c r="AJ38" s="15">
        <f t="shared" ca="1" si="18"/>
        <v>0</v>
      </c>
      <c r="AK38" s="15">
        <f t="shared" ca="1" si="19"/>
        <v>0</v>
      </c>
    </row>
    <row r="39" spans="1:37" ht="14.5" customHeight="1" x14ac:dyDescent="0.35">
      <c r="A39" s="12" t="s">
        <v>55</v>
      </c>
      <c r="B39" s="13">
        <f ca="1">IFERROR(__xludf.DUMMYFUNCTION("GOOGLEFINANCE(""NSE:""&amp;A39,""PRICE"")"),6878.95)</f>
        <v>6878.95</v>
      </c>
      <c r="C39" s="13">
        <f ca="1">IFERROR(__xludf.DUMMYFUNCTION("GOOGLEFINANCE(""NSE:""&amp;A39,""PRICEOPEN"")"),6850.1)</f>
        <v>6850.1</v>
      </c>
      <c r="D39" s="13">
        <f ca="1">IFERROR(__xludf.DUMMYFUNCTION("GOOGLEFINANCE(""NSE:""&amp;A39,""HIGH"")"),6925)</f>
        <v>6925</v>
      </c>
      <c r="E39" s="13">
        <f ca="1">IFERROR(__xludf.DUMMYFUNCTION("GOOGLEFINANCE(""NSE:""&amp;A39,""LOW"")"),6827.9)</f>
        <v>6827.9</v>
      </c>
      <c r="F39" s="13">
        <f ca="1">IFERROR(__xludf.DUMMYFUNCTION("GOOGLEFINANCE(""NSE:""&amp;A39,""closeyest"")"),6850.3)</f>
        <v>6850.3</v>
      </c>
      <c r="G39" s="14">
        <f t="shared" ca="1" si="0"/>
        <v>4.1939540191452849E-3</v>
      </c>
      <c r="H39" s="13">
        <f ca="1">IFERROR(__xludf.DUMMYFUNCTION("GOOGLEFINANCE(""NSE:""&amp;A39,""VOLUME"")"),840910)</f>
        <v>840910</v>
      </c>
      <c r="I39" s="13" t="str">
        <f ca="1">IFERROR(__xludf.DUMMYFUNCTION("AVERAGE(index(GOOGLEFINANCE(""NSE:""&amp;$A39, ""volume"", today()-21, today()-1), , 2))"),"#N/A")</f>
        <v>#N/A</v>
      </c>
      <c r="J39" s="14" t="e">
        <f t="shared" ca="1" si="1"/>
        <v>#VALUE!</v>
      </c>
      <c r="K39" s="13" t="str">
        <f ca="1">IFERROR(__xludf.DUMMYFUNCTION("AVERAGE(index(GOOGLEFINANCE(""NSE:""&amp;$A39, ""close"", today()-6, today()-1), , 2))"),"#N/A")</f>
        <v>#N/A</v>
      </c>
      <c r="L39" s="13" t="str">
        <f ca="1">IFERROR(__xludf.DUMMYFUNCTION("AVERAGE(index(GOOGLEFINANCE(""NSE:""&amp;$A39, ""close"", today()-14, today()-1), , 2))"),"#N/A")</f>
        <v>#N/A</v>
      </c>
      <c r="M39" s="13" t="str">
        <f ca="1">IFERROR(__xludf.DUMMYFUNCTION("AVERAGE(index(GOOGLEFINANCE(""NSE:""&amp;$A39, ""close"", today()-22, today()-1), , 2))"),"#N/A")</f>
        <v>#N/A</v>
      </c>
      <c r="N39" s="13" t="str">
        <f t="shared" ca="1" si="2"/>
        <v>No_Action</v>
      </c>
      <c r="O39" s="13" t="str">
        <f t="shared" ca="1" si="3"/>
        <v>No_Action</v>
      </c>
      <c r="P39" s="13" t="str">
        <f t="shared" ca="1" si="4"/>
        <v>No_Action</v>
      </c>
      <c r="Q39" s="13" t="str">
        <f t="shared" ca="1" si="5"/>
        <v>No_Action</v>
      </c>
      <c r="R39" s="15"/>
      <c r="S39" s="15" t="str">
        <f t="shared" ca="1" si="6"/>
        <v>NoNo</v>
      </c>
      <c r="T39" s="15"/>
      <c r="U39" s="15">
        <f t="shared" ca="1" si="7"/>
        <v>0</v>
      </c>
      <c r="V39" s="15">
        <f t="shared" ca="1" si="8"/>
        <v>0</v>
      </c>
      <c r="W39" s="15" t="str">
        <f t="shared" ca="1" si="9"/>
        <v>No_Action</v>
      </c>
      <c r="X39" s="15"/>
      <c r="Y39" s="15" t="str">
        <f t="shared" ca="1" si="10"/>
        <v>No_Action</v>
      </c>
      <c r="Z39" s="15">
        <f t="shared" ca="1" si="11"/>
        <v>0</v>
      </c>
      <c r="AA39" s="15">
        <f t="shared" ca="1" si="12"/>
        <v>0</v>
      </c>
      <c r="AB39" s="15"/>
      <c r="AC39" s="15" t="str">
        <f t="shared" ca="1" si="13"/>
        <v>NoNo</v>
      </c>
      <c r="AD39" s="15"/>
      <c r="AE39" s="15">
        <f t="shared" ca="1" si="14"/>
        <v>0</v>
      </c>
      <c r="AF39" s="16">
        <f t="shared" ca="1" si="15"/>
        <v>0</v>
      </c>
      <c r="AG39" s="16" t="str">
        <f t="shared" ca="1" si="16"/>
        <v>No_Action</v>
      </c>
      <c r="AH39" s="15"/>
      <c r="AI39" s="15" t="str">
        <f t="shared" ca="1" si="17"/>
        <v>No_Action</v>
      </c>
      <c r="AJ39" s="15">
        <f t="shared" ca="1" si="18"/>
        <v>0</v>
      </c>
      <c r="AK39" s="15">
        <f t="shared" ca="1" si="19"/>
        <v>0</v>
      </c>
    </row>
    <row r="40" spans="1:37" ht="14.5" customHeight="1" x14ac:dyDescent="0.35">
      <c r="A40" s="12" t="s">
        <v>56</v>
      </c>
      <c r="B40" s="13">
        <f ca="1">IFERROR(__xludf.DUMMYFUNCTION("GOOGLEFINANCE(""NSE:""&amp;A40,""PRICE"")"),1637.1)</f>
        <v>1637.1</v>
      </c>
      <c r="C40" s="13">
        <f ca="1">IFERROR(__xludf.DUMMYFUNCTION("GOOGLEFINANCE(""NSE:""&amp;A40,""PRICEOPEN"")"),1642)</f>
        <v>1642</v>
      </c>
      <c r="D40" s="13">
        <f ca="1">IFERROR(__xludf.DUMMYFUNCTION("GOOGLEFINANCE(""NSE:""&amp;A40,""HIGH"")"),1647.55)</f>
        <v>1647.55</v>
      </c>
      <c r="E40" s="13">
        <f ca="1">IFERROR(__xludf.DUMMYFUNCTION("GOOGLEFINANCE(""NSE:""&amp;A40,""LOW"")"),1619.2)</f>
        <v>1619.2</v>
      </c>
      <c r="F40" s="13">
        <f ca="1">IFERROR(__xludf.DUMMYFUNCTION("GOOGLEFINANCE(""NSE:""&amp;A40,""closeyest"")"),1635.2)</f>
        <v>1635.2</v>
      </c>
      <c r="G40" s="14">
        <f t="shared" ca="1" si="0"/>
        <v>-2.9930975505467541E-3</v>
      </c>
      <c r="H40" s="13">
        <f ca="1">IFERROR(__xludf.DUMMYFUNCTION("GOOGLEFINANCE(""NSE:""&amp;A40,""VOLUME"")"),859106)</f>
        <v>859106</v>
      </c>
      <c r="I40" s="13" t="str">
        <f ca="1">IFERROR(__xludf.DUMMYFUNCTION("AVERAGE(index(GOOGLEFINANCE(""NSE:""&amp;$A40, ""volume"", today()-21, today()-1), , 2))"),"#N/A")</f>
        <v>#N/A</v>
      </c>
      <c r="J40" s="14" t="e">
        <f t="shared" ca="1" si="1"/>
        <v>#VALUE!</v>
      </c>
      <c r="K40" s="13" t="str">
        <f ca="1">IFERROR(__xludf.DUMMYFUNCTION("AVERAGE(index(GOOGLEFINANCE(""NSE:""&amp;$A40, ""close"", today()-6, today()-1), , 2))"),"#N/A")</f>
        <v>#N/A</v>
      </c>
      <c r="L40" s="13" t="str">
        <f ca="1">IFERROR(__xludf.DUMMYFUNCTION("AVERAGE(index(GOOGLEFINANCE(""NSE:""&amp;$A40, ""close"", today()-14, today()-1), , 2))"),"#N/A")</f>
        <v>#N/A</v>
      </c>
      <c r="M40" s="13" t="str">
        <f ca="1">IFERROR(__xludf.DUMMYFUNCTION("AVERAGE(index(GOOGLEFINANCE(""NSE:""&amp;$A40, ""close"", today()-22, today()-1), , 2))"),"#N/A")</f>
        <v>#N/A</v>
      </c>
      <c r="N40" s="13" t="str">
        <f t="shared" ca="1" si="2"/>
        <v>No_Action</v>
      </c>
      <c r="O40" s="13" t="str">
        <f t="shared" ca="1" si="3"/>
        <v>No_Action</v>
      </c>
      <c r="P40" s="13" t="str">
        <f t="shared" ca="1" si="4"/>
        <v>No_Action</v>
      </c>
      <c r="Q40" s="13" t="str">
        <f t="shared" ca="1" si="5"/>
        <v>No_Action</v>
      </c>
      <c r="R40" s="15"/>
      <c r="S40" s="15" t="str">
        <f t="shared" ca="1" si="6"/>
        <v>NoNo</v>
      </c>
      <c r="T40" s="15"/>
      <c r="U40" s="15">
        <f t="shared" ca="1" si="7"/>
        <v>0</v>
      </c>
      <c r="V40" s="15">
        <f t="shared" ca="1" si="8"/>
        <v>0</v>
      </c>
      <c r="W40" s="15" t="str">
        <f t="shared" ca="1" si="9"/>
        <v>No_Action</v>
      </c>
      <c r="X40" s="15"/>
      <c r="Y40" s="15" t="str">
        <f t="shared" ca="1" si="10"/>
        <v>No_Action</v>
      </c>
      <c r="Z40" s="15">
        <f t="shared" ca="1" si="11"/>
        <v>0</v>
      </c>
      <c r="AA40" s="15">
        <f t="shared" ca="1" si="12"/>
        <v>0</v>
      </c>
      <c r="AB40" s="15"/>
      <c r="AC40" s="15" t="str">
        <f t="shared" ca="1" si="13"/>
        <v>NoNo</v>
      </c>
      <c r="AD40" s="15"/>
      <c r="AE40" s="15">
        <f t="shared" ca="1" si="14"/>
        <v>0</v>
      </c>
      <c r="AF40" s="16">
        <f t="shared" ca="1" si="15"/>
        <v>0</v>
      </c>
      <c r="AG40" s="16" t="str">
        <f t="shared" ca="1" si="16"/>
        <v>No_Action</v>
      </c>
      <c r="AH40" s="15"/>
      <c r="AI40" s="15" t="str">
        <f t="shared" ca="1" si="17"/>
        <v>No_Action</v>
      </c>
      <c r="AJ40" s="15">
        <f t="shared" ca="1" si="18"/>
        <v>0</v>
      </c>
      <c r="AK40" s="15">
        <f t="shared" ca="1" si="19"/>
        <v>0</v>
      </c>
    </row>
    <row r="41" spans="1:37" ht="14.5" customHeight="1" x14ac:dyDescent="0.35">
      <c r="A41" s="12" t="s">
        <v>57</v>
      </c>
      <c r="B41" s="13">
        <f ca="1">IFERROR(__xludf.DUMMYFUNCTION("GOOGLEFINANCE(""NSE:""&amp;A41,""PRICE"")"),11080)</f>
        <v>11080</v>
      </c>
      <c r="C41" s="13">
        <f ca="1">IFERROR(__xludf.DUMMYFUNCTION("GOOGLEFINANCE(""NSE:""&amp;A41,""PRICEOPEN"")"),10700)</f>
        <v>10700</v>
      </c>
      <c r="D41" s="13">
        <f ca="1">IFERROR(__xludf.DUMMYFUNCTION("GOOGLEFINANCE(""NSE:""&amp;A41,""HIGH"")"),11244.45)</f>
        <v>11244.45</v>
      </c>
      <c r="E41" s="13">
        <f ca="1">IFERROR(__xludf.DUMMYFUNCTION("GOOGLEFINANCE(""NSE:""&amp;A41,""LOW"")"),10675.85)</f>
        <v>10675.85</v>
      </c>
      <c r="F41" s="13">
        <f ca="1">IFERROR(__xludf.DUMMYFUNCTION("GOOGLEFINANCE(""NSE:""&amp;A41,""closeyest"")"),10675.85)</f>
        <v>10675.85</v>
      </c>
      <c r="G41" s="14">
        <f t="shared" ca="1" si="0"/>
        <v>3.4296028880866428E-2</v>
      </c>
      <c r="H41" s="13">
        <f ca="1">IFERROR(__xludf.DUMMYFUNCTION("GOOGLEFINANCE(""NSE:""&amp;A41,""VOLUME"")"),127070)</f>
        <v>127070</v>
      </c>
      <c r="I41" s="13" t="str">
        <f ca="1">IFERROR(__xludf.DUMMYFUNCTION("AVERAGE(index(GOOGLEFINANCE(""NSE:""&amp;$A41, ""volume"", today()-21, today()-1), , 2))"),"#N/A")</f>
        <v>#N/A</v>
      </c>
      <c r="J41" s="14" t="e">
        <f t="shared" ca="1" si="1"/>
        <v>#VALUE!</v>
      </c>
      <c r="K41" s="13" t="str">
        <f ca="1">IFERROR(__xludf.DUMMYFUNCTION("AVERAGE(index(GOOGLEFINANCE(""NSE:""&amp;$A41, ""close"", today()-6, today()-1), , 2))"),"#N/A")</f>
        <v>#N/A</v>
      </c>
      <c r="L41" s="13" t="str">
        <f ca="1">IFERROR(__xludf.DUMMYFUNCTION("AVERAGE(index(GOOGLEFINANCE(""NSE:""&amp;$A41, ""close"", today()-14, today()-1), , 2))"),"#N/A")</f>
        <v>#N/A</v>
      </c>
      <c r="M41" s="13" t="str">
        <f ca="1">IFERROR(__xludf.DUMMYFUNCTION("AVERAGE(index(GOOGLEFINANCE(""NSE:""&amp;$A41, ""close"", today()-22, today()-1), , 2))"),"#N/A")</f>
        <v>#N/A</v>
      </c>
      <c r="N41" s="13" t="str">
        <f t="shared" ca="1" si="2"/>
        <v>No_Action</v>
      </c>
      <c r="O41" s="13" t="str">
        <f t="shared" ca="1" si="3"/>
        <v>No_Action</v>
      </c>
      <c r="P41" s="13" t="str">
        <f t="shared" ca="1" si="4"/>
        <v>No_Action</v>
      </c>
      <c r="Q41" s="13" t="str">
        <f t="shared" ca="1" si="5"/>
        <v>No_Action</v>
      </c>
      <c r="R41" s="15"/>
      <c r="S41" s="15" t="str">
        <f t="shared" ca="1" si="6"/>
        <v>NoNo</v>
      </c>
      <c r="T41" s="15"/>
      <c r="U41" s="15">
        <f t="shared" ca="1" si="7"/>
        <v>0</v>
      </c>
      <c r="V41" s="15">
        <f t="shared" ca="1" si="8"/>
        <v>0</v>
      </c>
      <c r="W41" s="15" t="str">
        <f t="shared" ca="1" si="9"/>
        <v>No_Action</v>
      </c>
      <c r="X41" s="15"/>
      <c r="Y41" s="15" t="str">
        <f t="shared" ca="1" si="10"/>
        <v>No_Action</v>
      </c>
      <c r="Z41" s="15">
        <f t="shared" ca="1" si="11"/>
        <v>0</v>
      </c>
      <c r="AA41" s="15">
        <f t="shared" ca="1" si="12"/>
        <v>0</v>
      </c>
      <c r="AB41" s="15"/>
      <c r="AC41" s="15" t="str">
        <f t="shared" ca="1" si="13"/>
        <v>NoNo</v>
      </c>
      <c r="AD41" s="15"/>
      <c r="AE41" s="15">
        <f t="shared" ca="1" si="14"/>
        <v>0</v>
      </c>
      <c r="AF41" s="16">
        <f t="shared" ca="1" si="15"/>
        <v>0</v>
      </c>
      <c r="AG41" s="16" t="str">
        <f t="shared" ca="1" si="16"/>
        <v>No_Action</v>
      </c>
      <c r="AH41" s="15"/>
      <c r="AI41" s="15" t="str">
        <f t="shared" ca="1" si="17"/>
        <v>No_Action</v>
      </c>
      <c r="AJ41" s="15">
        <f t="shared" ca="1" si="18"/>
        <v>0</v>
      </c>
      <c r="AK41" s="15">
        <f t="shared" ca="1" si="19"/>
        <v>0</v>
      </c>
    </row>
    <row r="42" spans="1:37" ht="14.5" customHeight="1" x14ac:dyDescent="0.35">
      <c r="A42" s="12" t="s">
        <v>58</v>
      </c>
      <c r="B42" s="13">
        <f ca="1">IFERROR(__xludf.DUMMYFUNCTION("GOOGLEFINANCE(""NSE:""&amp;A42,""PRICE"")"),2051)</f>
        <v>2051</v>
      </c>
      <c r="C42" s="13">
        <f ca="1">IFERROR(__xludf.DUMMYFUNCTION("GOOGLEFINANCE(""NSE:""&amp;A42,""PRICEOPEN"")"),2080)</f>
        <v>2080</v>
      </c>
      <c r="D42" s="13">
        <f ca="1">IFERROR(__xludf.DUMMYFUNCTION("GOOGLEFINANCE(""NSE:""&amp;A42,""HIGH"")"),2084.6)</f>
        <v>2084.6</v>
      </c>
      <c r="E42" s="13">
        <f ca="1">IFERROR(__xludf.DUMMYFUNCTION("GOOGLEFINANCE(""NSE:""&amp;A42,""LOW"")"),2045)</f>
        <v>2045</v>
      </c>
      <c r="F42" s="13">
        <f ca="1">IFERROR(__xludf.DUMMYFUNCTION("GOOGLEFINANCE(""NSE:""&amp;A42,""closeyest"")"),2078.7)</f>
        <v>2078.6999999999998</v>
      </c>
      <c r="G42" s="14">
        <f t="shared" ca="1" si="0"/>
        <v>-1.4139444173573866E-2</v>
      </c>
      <c r="H42" s="13">
        <f ca="1">IFERROR(__xludf.DUMMYFUNCTION("GOOGLEFINANCE(""NSE:""&amp;A42,""VOLUME"")"),25020)</f>
        <v>25020</v>
      </c>
      <c r="I42" s="13" t="str">
        <f ca="1">IFERROR(__xludf.DUMMYFUNCTION("AVERAGE(index(GOOGLEFINANCE(""NSE:""&amp;$A42, ""volume"", today()-21, today()-1), , 2))"),"#N/A")</f>
        <v>#N/A</v>
      </c>
      <c r="J42" s="14" t="e">
        <f t="shared" ca="1" si="1"/>
        <v>#VALUE!</v>
      </c>
      <c r="K42" s="13" t="str">
        <f ca="1">IFERROR(__xludf.DUMMYFUNCTION("AVERAGE(index(GOOGLEFINANCE(""NSE:""&amp;$A42, ""close"", today()-6, today()-1), , 2))"),"#N/A")</f>
        <v>#N/A</v>
      </c>
      <c r="L42" s="13" t="str">
        <f ca="1">IFERROR(__xludf.DUMMYFUNCTION("AVERAGE(index(GOOGLEFINANCE(""NSE:""&amp;$A42, ""close"", today()-14, today()-1), , 2))"),"#N/A")</f>
        <v>#N/A</v>
      </c>
      <c r="M42" s="13" t="str">
        <f ca="1">IFERROR(__xludf.DUMMYFUNCTION("AVERAGE(index(GOOGLEFINANCE(""NSE:""&amp;$A42, ""close"", today()-22, today()-1), , 2))"),"#N/A")</f>
        <v>#N/A</v>
      </c>
      <c r="N42" s="13" t="str">
        <f t="shared" ca="1" si="2"/>
        <v>No_Action</v>
      </c>
      <c r="O42" s="13" t="str">
        <f t="shared" ca="1" si="3"/>
        <v>No_Action</v>
      </c>
      <c r="P42" s="13" t="str">
        <f t="shared" ca="1" si="4"/>
        <v>No_Action</v>
      </c>
      <c r="Q42" s="13" t="str">
        <f t="shared" ca="1" si="5"/>
        <v>No_Action</v>
      </c>
      <c r="R42" s="15"/>
      <c r="S42" s="15" t="str">
        <f t="shared" ca="1" si="6"/>
        <v>NoNo</v>
      </c>
      <c r="T42" s="15"/>
      <c r="U42" s="15">
        <f t="shared" ca="1" si="7"/>
        <v>0</v>
      </c>
      <c r="V42" s="15">
        <f t="shared" ca="1" si="8"/>
        <v>0</v>
      </c>
      <c r="W42" s="15" t="str">
        <f t="shared" ca="1" si="9"/>
        <v>No_Action</v>
      </c>
      <c r="X42" s="15"/>
      <c r="Y42" s="15" t="str">
        <f t="shared" ca="1" si="10"/>
        <v>No_Action</v>
      </c>
      <c r="Z42" s="15">
        <f t="shared" ca="1" si="11"/>
        <v>0</v>
      </c>
      <c r="AA42" s="15">
        <f t="shared" ca="1" si="12"/>
        <v>0</v>
      </c>
      <c r="AB42" s="15"/>
      <c r="AC42" s="15" t="str">
        <f t="shared" ca="1" si="13"/>
        <v>NoNo</v>
      </c>
      <c r="AD42" s="15"/>
      <c r="AE42" s="15">
        <f t="shared" ca="1" si="14"/>
        <v>0</v>
      </c>
      <c r="AF42" s="16">
        <f t="shared" ca="1" si="15"/>
        <v>0</v>
      </c>
      <c r="AG42" s="16" t="str">
        <f t="shared" ca="1" si="16"/>
        <v>No_Action</v>
      </c>
      <c r="AH42" s="15"/>
      <c r="AI42" s="15" t="str">
        <f t="shared" ca="1" si="17"/>
        <v>No_Action</v>
      </c>
      <c r="AJ42" s="15">
        <f t="shared" ca="1" si="18"/>
        <v>0</v>
      </c>
      <c r="AK42" s="15">
        <f t="shared" ca="1" si="19"/>
        <v>0</v>
      </c>
    </row>
    <row r="43" spans="1:37" ht="14.5" customHeight="1" x14ac:dyDescent="0.35">
      <c r="A43" s="12" t="s">
        <v>59</v>
      </c>
      <c r="B43" s="13">
        <f ca="1">IFERROR(__xludf.DUMMYFUNCTION("GOOGLEFINANCE(""NSE:""&amp;A43,""PRICE"")"),2860)</f>
        <v>2860</v>
      </c>
      <c r="C43" s="13">
        <f ca="1">IFERROR(__xludf.DUMMYFUNCTION("GOOGLEFINANCE(""NSE:""&amp;A43,""PRICEOPEN"")"),2800.15)</f>
        <v>2800.15</v>
      </c>
      <c r="D43" s="13">
        <f ca="1">IFERROR(__xludf.DUMMYFUNCTION("GOOGLEFINANCE(""NSE:""&amp;A43,""HIGH"")"),2894.5)</f>
        <v>2894.5</v>
      </c>
      <c r="E43" s="13">
        <f ca="1">IFERROR(__xludf.DUMMYFUNCTION("GOOGLEFINANCE(""NSE:""&amp;A43,""LOW"")"),2682.05)</f>
        <v>2682.05</v>
      </c>
      <c r="F43" s="13">
        <f ca="1">IFERROR(__xludf.DUMMYFUNCTION("GOOGLEFINANCE(""NSE:""&amp;A43,""closeyest"")"),2806.7)</f>
        <v>2806.7</v>
      </c>
      <c r="G43" s="14">
        <f t="shared" ca="1" si="0"/>
        <v>2.0926573426573395E-2</v>
      </c>
      <c r="H43" s="13">
        <f ca="1">IFERROR(__xludf.DUMMYFUNCTION("GOOGLEFINANCE(""NSE:""&amp;A43,""VOLUME"")"),259452)</f>
        <v>259452</v>
      </c>
      <c r="I43" s="13" t="str">
        <f ca="1">IFERROR(__xludf.DUMMYFUNCTION("AVERAGE(index(GOOGLEFINANCE(""NSE:""&amp;$A43, ""volume"", today()-21, today()-1), , 2))"),"#N/A")</f>
        <v>#N/A</v>
      </c>
      <c r="J43" s="14" t="e">
        <f t="shared" ca="1" si="1"/>
        <v>#VALUE!</v>
      </c>
      <c r="K43" s="13" t="str">
        <f ca="1">IFERROR(__xludf.DUMMYFUNCTION("AVERAGE(index(GOOGLEFINANCE(""NSE:""&amp;$A43, ""close"", today()-6, today()-1), , 2))"),"#N/A")</f>
        <v>#N/A</v>
      </c>
      <c r="L43" s="13" t="str">
        <f ca="1">IFERROR(__xludf.DUMMYFUNCTION("AVERAGE(index(GOOGLEFINANCE(""NSE:""&amp;$A43, ""close"", today()-14, today()-1), , 2))"),"#N/A")</f>
        <v>#N/A</v>
      </c>
      <c r="M43" s="13" t="str">
        <f ca="1">IFERROR(__xludf.DUMMYFUNCTION("AVERAGE(index(GOOGLEFINANCE(""NSE:""&amp;$A43, ""close"", today()-22, today()-1), , 2))"),"#N/A")</f>
        <v>#N/A</v>
      </c>
      <c r="N43" s="13" t="str">
        <f t="shared" ca="1" si="2"/>
        <v>No_Action</v>
      </c>
      <c r="O43" s="13" t="str">
        <f t="shared" ca="1" si="3"/>
        <v>No_Action</v>
      </c>
      <c r="P43" s="13" t="str">
        <f t="shared" ca="1" si="4"/>
        <v>No_Action</v>
      </c>
      <c r="Q43" s="13" t="str">
        <f t="shared" ca="1" si="5"/>
        <v>No_Action</v>
      </c>
      <c r="R43" s="15"/>
      <c r="S43" s="15" t="str">
        <f t="shared" ca="1" si="6"/>
        <v>NoNo</v>
      </c>
      <c r="T43" s="15"/>
      <c r="U43" s="15">
        <f t="shared" ca="1" si="7"/>
        <v>0</v>
      </c>
      <c r="V43" s="15">
        <f t="shared" ca="1" si="8"/>
        <v>0</v>
      </c>
      <c r="W43" s="15" t="str">
        <f t="shared" ca="1" si="9"/>
        <v>No_Action</v>
      </c>
      <c r="X43" s="15"/>
      <c r="Y43" s="15" t="str">
        <f t="shared" ca="1" si="10"/>
        <v>No_Action</v>
      </c>
      <c r="Z43" s="15">
        <f t="shared" ca="1" si="11"/>
        <v>0</v>
      </c>
      <c r="AA43" s="15">
        <f t="shared" ca="1" si="12"/>
        <v>0</v>
      </c>
      <c r="AB43" s="15"/>
      <c r="AC43" s="15" t="str">
        <f t="shared" ca="1" si="13"/>
        <v>NoNo</v>
      </c>
      <c r="AD43" s="15"/>
      <c r="AE43" s="15">
        <f t="shared" ca="1" si="14"/>
        <v>0</v>
      </c>
      <c r="AF43" s="16">
        <f t="shared" ca="1" si="15"/>
        <v>0</v>
      </c>
      <c r="AG43" s="16" t="str">
        <f t="shared" ca="1" si="16"/>
        <v>No_Action</v>
      </c>
      <c r="AH43" s="15"/>
      <c r="AI43" s="15" t="str">
        <f t="shared" ca="1" si="17"/>
        <v>No_Action</v>
      </c>
      <c r="AJ43" s="15">
        <f t="shared" ca="1" si="18"/>
        <v>0</v>
      </c>
      <c r="AK43" s="15">
        <f t="shared" ca="1" si="19"/>
        <v>0</v>
      </c>
    </row>
    <row r="44" spans="1:37" ht="14.5" customHeight="1" x14ac:dyDescent="0.35">
      <c r="A44" s="12" t="s">
        <v>60</v>
      </c>
      <c r="B44" s="13">
        <f ca="1">IFERROR(__xludf.DUMMYFUNCTION("GOOGLEFINANCE(""NSE:""&amp;A44,""PRICE"")"),575)</f>
        <v>575</v>
      </c>
      <c r="C44" s="13">
        <f ca="1">IFERROR(__xludf.DUMMYFUNCTION("GOOGLEFINANCE(""NSE:""&amp;A44,""PRICEOPEN"")"),584)</f>
        <v>584</v>
      </c>
      <c r="D44" s="13">
        <f ca="1">IFERROR(__xludf.DUMMYFUNCTION("GOOGLEFINANCE(""NSE:""&amp;A44,""HIGH"")"),588.4)</f>
        <v>588.4</v>
      </c>
      <c r="E44" s="13">
        <f ca="1">IFERROR(__xludf.DUMMYFUNCTION("GOOGLEFINANCE(""NSE:""&amp;A44,""LOW"")"),568.75)</f>
        <v>568.75</v>
      </c>
      <c r="F44" s="13">
        <f ca="1">IFERROR(__xludf.DUMMYFUNCTION("GOOGLEFINANCE(""NSE:""&amp;A44,""closeyest"")"),583.95)</f>
        <v>583.95000000000005</v>
      </c>
      <c r="G44" s="14">
        <f t="shared" ca="1" si="0"/>
        <v>-1.5652173913043479E-2</v>
      </c>
      <c r="H44" s="13">
        <f ca="1">IFERROR(__xludf.DUMMYFUNCTION("GOOGLEFINANCE(""NSE:""&amp;A44,""VOLUME"")"),683540)</f>
        <v>683540</v>
      </c>
      <c r="I44" s="13" t="str">
        <f ca="1">IFERROR(__xludf.DUMMYFUNCTION("AVERAGE(index(GOOGLEFINANCE(""NSE:""&amp;$A44, ""volume"", today()-21, today()-1), , 2))"),"#N/A")</f>
        <v>#N/A</v>
      </c>
      <c r="J44" s="14" t="e">
        <f t="shared" ca="1" si="1"/>
        <v>#VALUE!</v>
      </c>
      <c r="K44" s="13" t="str">
        <f ca="1">IFERROR(__xludf.DUMMYFUNCTION("AVERAGE(index(GOOGLEFINANCE(""NSE:""&amp;$A44, ""close"", today()-6, today()-1), , 2))"),"#N/A")</f>
        <v>#N/A</v>
      </c>
      <c r="L44" s="13" t="str">
        <f ca="1">IFERROR(__xludf.DUMMYFUNCTION("AVERAGE(index(GOOGLEFINANCE(""NSE:""&amp;$A44, ""close"", today()-14, today()-1), , 2))"),"#N/A")</f>
        <v>#N/A</v>
      </c>
      <c r="M44" s="13" t="str">
        <f ca="1">IFERROR(__xludf.DUMMYFUNCTION("AVERAGE(index(GOOGLEFINANCE(""NSE:""&amp;$A44, ""close"", today()-22, today()-1), , 2))"),"#N/A")</f>
        <v>#N/A</v>
      </c>
      <c r="N44" s="13" t="str">
        <f t="shared" ca="1" si="2"/>
        <v>No_Action</v>
      </c>
      <c r="O44" s="13" t="str">
        <f t="shared" ca="1" si="3"/>
        <v>No_Action</v>
      </c>
      <c r="P44" s="13" t="str">
        <f t="shared" ca="1" si="4"/>
        <v>No_Action</v>
      </c>
      <c r="Q44" s="13" t="str">
        <f t="shared" ca="1" si="5"/>
        <v>No_Action</v>
      </c>
      <c r="R44" s="15"/>
      <c r="S44" s="15" t="str">
        <f t="shared" ca="1" si="6"/>
        <v>NoNo</v>
      </c>
      <c r="T44" s="15"/>
      <c r="U44" s="15">
        <f t="shared" ca="1" si="7"/>
        <v>0</v>
      </c>
      <c r="V44" s="15">
        <f t="shared" ca="1" si="8"/>
        <v>0</v>
      </c>
      <c r="W44" s="15" t="str">
        <f t="shared" ca="1" si="9"/>
        <v>No_Action</v>
      </c>
      <c r="X44" s="15"/>
      <c r="Y44" s="15" t="str">
        <f t="shared" ca="1" si="10"/>
        <v>No_Action</v>
      </c>
      <c r="Z44" s="15">
        <f t="shared" ca="1" si="11"/>
        <v>0</v>
      </c>
      <c r="AA44" s="15">
        <f t="shared" ca="1" si="12"/>
        <v>0</v>
      </c>
      <c r="AB44" s="15"/>
      <c r="AC44" s="15" t="str">
        <f t="shared" ca="1" si="13"/>
        <v>NoNo</v>
      </c>
      <c r="AD44" s="15"/>
      <c r="AE44" s="15">
        <f t="shared" ca="1" si="14"/>
        <v>0</v>
      </c>
      <c r="AF44" s="16">
        <f t="shared" ca="1" si="15"/>
        <v>0</v>
      </c>
      <c r="AG44" s="16" t="str">
        <f t="shared" ca="1" si="16"/>
        <v>No_Action</v>
      </c>
      <c r="AH44" s="15"/>
      <c r="AI44" s="15" t="str">
        <f t="shared" ca="1" si="17"/>
        <v>No_Action</v>
      </c>
      <c r="AJ44" s="15">
        <f t="shared" ca="1" si="18"/>
        <v>0</v>
      </c>
      <c r="AK44" s="15">
        <f t="shared" ca="1" si="19"/>
        <v>0</v>
      </c>
    </row>
    <row r="45" spans="1:37" ht="14.5" customHeight="1" x14ac:dyDescent="0.35">
      <c r="A45" s="12" t="s">
        <v>61</v>
      </c>
      <c r="B45" s="13">
        <f ca="1">IFERROR(__xludf.DUMMYFUNCTION("GOOGLEFINANCE(""NSE:""&amp;A45,""PRICE"")"),805)</f>
        <v>805</v>
      </c>
      <c r="C45" s="13">
        <f ca="1">IFERROR(__xludf.DUMMYFUNCTION("GOOGLEFINANCE(""NSE:""&amp;A45,""PRICEOPEN"")"),812)</f>
        <v>812</v>
      </c>
      <c r="D45" s="13">
        <f ca="1">IFERROR(__xludf.DUMMYFUNCTION("GOOGLEFINANCE(""NSE:""&amp;A45,""HIGH"")"),824)</f>
        <v>824</v>
      </c>
      <c r="E45" s="13">
        <f ca="1">IFERROR(__xludf.DUMMYFUNCTION("GOOGLEFINANCE(""NSE:""&amp;A45,""LOW"")"),788.1)</f>
        <v>788.1</v>
      </c>
      <c r="F45" s="13">
        <f ca="1">IFERROR(__xludf.DUMMYFUNCTION("GOOGLEFINANCE(""NSE:""&amp;A45,""closeyest"")"),806.75)</f>
        <v>806.75</v>
      </c>
      <c r="G45" s="14">
        <f t="shared" ca="1" si="0"/>
        <v>-8.6956521739130436E-3</v>
      </c>
      <c r="H45" s="13">
        <f ca="1">IFERROR(__xludf.DUMMYFUNCTION("GOOGLEFINANCE(""NSE:""&amp;A45,""VOLUME"")"),610217)</f>
        <v>610217</v>
      </c>
      <c r="I45" s="13" t="str">
        <f ca="1">IFERROR(__xludf.DUMMYFUNCTION("AVERAGE(index(GOOGLEFINANCE(""NSE:""&amp;$A45, ""volume"", today()-21, today()-1), , 2))"),"#N/A")</f>
        <v>#N/A</v>
      </c>
      <c r="J45" s="14" t="e">
        <f t="shared" ca="1" si="1"/>
        <v>#VALUE!</v>
      </c>
      <c r="K45" s="13" t="str">
        <f ca="1">IFERROR(__xludf.DUMMYFUNCTION("AVERAGE(index(GOOGLEFINANCE(""NSE:""&amp;$A45, ""close"", today()-6, today()-1), , 2))"),"#N/A")</f>
        <v>#N/A</v>
      </c>
      <c r="L45" s="13" t="str">
        <f ca="1">IFERROR(__xludf.DUMMYFUNCTION("AVERAGE(index(GOOGLEFINANCE(""NSE:""&amp;$A45, ""close"", today()-14, today()-1), , 2))"),"#N/A")</f>
        <v>#N/A</v>
      </c>
      <c r="M45" s="13" t="str">
        <f ca="1">IFERROR(__xludf.DUMMYFUNCTION("AVERAGE(index(GOOGLEFINANCE(""NSE:""&amp;$A45, ""close"", today()-22, today()-1), , 2))"),"#N/A")</f>
        <v>#N/A</v>
      </c>
      <c r="N45" s="13" t="str">
        <f t="shared" ca="1" si="2"/>
        <v>No_Action</v>
      </c>
      <c r="O45" s="13" t="str">
        <f t="shared" ca="1" si="3"/>
        <v>No_Action</v>
      </c>
      <c r="P45" s="13" t="str">
        <f t="shared" ca="1" si="4"/>
        <v>No_Action</v>
      </c>
      <c r="Q45" s="13" t="str">
        <f t="shared" ca="1" si="5"/>
        <v>No_Action</v>
      </c>
      <c r="R45" s="15"/>
      <c r="S45" s="15" t="str">
        <f t="shared" ca="1" si="6"/>
        <v>NoNo</v>
      </c>
      <c r="T45" s="15"/>
      <c r="U45" s="15">
        <f t="shared" ca="1" si="7"/>
        <v>0</v>
      </c>
      <c r="V45" s="15">
        <f t="shared" ca="1" si="8"/>
        <v>0</v>
      </c>
      <c r="W45" s="15" t="str">
        <f t="shared" ca="1" si="9"/>
        <v>No_Action</v>
      </c>
      <c r="X45" s="15"/>
      <c r="Y45" s="15" t="str">
        <f t="shared" ca="1" si="10"/>
        <v>No_Action</v>
      </c>
      <c r="Z45" s="15">
        <f t="shared" ca="1" si="11"/>
        <v>0</v>
      </c>
      <c r="AA45" s="15">
        <f t="shared" ca="1" si="12"/>
        <v>0</v>
      </c>
      <c r="AB45" s="15"/>
      <c r="AC45" s="15" t="str">
        <f t="shared" ca="1" si="13"/>
        <v>NoNo</v>
      </c>
      <c r="AD45" s="15"/>
      <c r="AE45" s="15">
        <f t="shared" ca="1" si="14"/>
        <v>0</v>
      </c>
      <c r="AF45" s="16">
        <f t="shared" ca="1" si="15"/>
        <v>0</v>
      </c>
      <c r="AG45" s="16" t="str">
        <f t="shared" ca="1" si="16"/>
        <v>No_Action</v>
      </c>
      <c r="AH45" s="15"/>
      <c r="AI45" s="15" t="str">
        <f t="shared" ca="1" si="17"/>
        <v>No_Action</v>
      </c>
      <c r="AJ45" s="15">
        <f t="shared" ca="1" si="18"/>
        <v>0</v>
      </c>
      <c r="AK45" s="15">
        <f t="shared" ca="1" si="19"/>
        <v>0</v>
      </c>
    </row>
    <row r="46" spans="1:37" ht="14.5" customHeight="1" x14ac:dyDescent="0.35">
      <c r="A46" s="12" t="s">
        <v>62</v>
      </c>
      <c r="B46" s="13">
        <f ca="1">IFERROR(__xludf.DUMMYFUNCTION("GOOGLEFINANCE(""NSE:""&amp;A46,""PRICE"")"),262.9)</f>
        <v>262.89999999999998</v>
      </c>
      <c r="C46" s="13">
        <f ca="1">IFERROR(__xludf.DUMMYFUNCTION("GOOGLEFINANCE(""NSE:""&amp;A46,""PRICEOPEN"")"),263)</f>
        <v>263</v>
      </c>
      <c r="D46" s="13">
        <f ca="1">IFERROR(__xludf.DUMMYFUNCTION("GOOGLEFINANCE(""NSE:""&amp;A46,""HIGH"")"),264.8)</f>
        <v>264.8</v>
      </c>
      <c r="E46" s="13">
        <f ca="1">IFERROR(__xludf.DUMMYFUNCTION("GOOGLEFINANCE(""NSE:""&amp;A46,""LOW"")"),261.32)</f>
        <v>261.32</v>
      </c>
      <c r="F46" s="13">
        <f ca="1">IFERROR(__xludf.DUMMYFUNCTION("GOOGLEFINANCE(""NSE:""&amp;A46,""closeyest"")"),264.6)</f>
        <v>264.60000000000002</v>
      </c>
      <c r="G46" s="14">
        <f t="shared" ca="1" si="0"/>
        <v>-3.8037276531009033E-4</v>
      </c>
      <c r="H46" s="13">
        <f ca="1">IFERROR(__xludf.DUMMYFUNCTION("GOOGLEFINANCE(""NSE:""&amp;A46,""VOLUME"")"),9706145)</f>
        <v>9706145</v>
      </c>
      <c r="I46" s="13" t="str">
        <f ca="1">IFERROR(__xludf.DUMMYFUNCTION("AVERAGE(index(GOOGLEFINANCE(""NSE:""&amp;$A46, ""volume"", today()-21, today()-1), , 2))"),"#N/A")</f>
        <v>#N/A</v>
      </c>
      <c r="J46" s="14" t="e">
        <f t="shared" ca="1" si="1"/>
        <v>#VALUE!</v>
      </c>
      <c r="K46" s="13" t="str">
        <f ca="1">IFERROR(__xludf.DUMMYFUNCTION("AVERAGE(index(GOOGLEFINANCE(""NSE:""&amp;$A46, ""close"", today()-6, today()-1), , 2))"),"#N/A")</f>
        <v>#N/A</v>
      </c>
      <c r="L46" s="13" t="str">
        <f ca="1">IFERROR(__xludf.DUMMYFUNCTION("AVERAGE(index(GOOGLEFINANCE(""NSE:""&amp;$A46, ""close"", today()-14, today()-1), , 2))"),"#N/A")</f>
        <v>#N/A</v>
      </c>
      <c r="M46" s="13" t="str">
        <f ca="1">IFERROR(__xludf.DUMMYFUNCTION("AVERAGE(index(GOOGLEFINANCE(""NSE:""&amp;$A46, ""close"", today()-22, today()-1), , 2))"),"#N/A")</f>
        <v>#N/A</v>
      </c>
      <c r="N46" s="13" t="str">
        <f t="shared" ca="1" si="2"/>
        <v>No_Action</v>
      </c>
      <c r="O46" s="13" t="str">
        <f t="shared" ca="1" si="3"/>
        <v>No_Action</v>
      </c>
      <c r="P46" s="13" t="str">
        <f t="shared" ca="1" si="4"/>
        <v>No_Action</v>
      </c>
      <c r="Q46" s="13" t="str">
        <f t="shared" ca="1" si="5"/>
        <v>No_Action</v>
      </c>
      <c r="R46" s="15"/>
      <c r="S46" s="15" t="str">
        <f t="shared" ca="1" si="6"/>
        <v>NoNo</v>
      </c>
      <c r="T46" s="15"/>
      <c r="U46" s="15">
        <f t="shared" ca="1" si="7"/>
        <v>0</v>
      </c>
      <c r="V46" s="15">
        <f t="shared" ca="1" si="8"/>
        <v>0</v>
      </c>
      <c r="W46" s="15" t="str">
        <f t="shared" ca="1" si="9"/>
        <v>No_Action</v>
      </c>
      <c r="X46" s="15"/>
      <c r="Y46" s="15" t="str">
        <f t="shared" ca="1" si="10"/>
        <v>No_Action</v>
      </c>
      <c r="Z46" s="15">
        <f t="shared" ca="1" si="11"/>
        <v>0</v>
      </c>
      <c r="AA46" s="15">
        <f t="shared" ca="1" si="12"/>
        <v>0</v>
      </c>
      <c r="AB46" s="15"/>
      <c r="AC46" s="15" t="str">
        <f t="shared" ca="1" si="13"/>
        <v>NoNo</v>
      </c>
      <c r="AD46" s="15"/>
      <c r="AE46" s="15">
        <f t="shared" ca="1" si="14"/>
        <v>0</v>
      </c>
      <c r="AF46" s="16">
        <f t="shared" ca="1" si="15"/>
        <v>0</v>
      </c>
      <c r="AG46" s="16" t="str">
        <f t="shared" ca="1" si="16"/>
        <v>No_Action</v>
      </c>
      <c r="AH46" s="15"/>
      <c r="AI46" s="15" t="str">
        <f t="shared" ca="1" si="17"/>
        <v>No_Action</v>
      </c>
      <c r="AJ46" s="15">
        <f t="shared" ca="1" si="18"/>
        <v>0</v>
      </c>
      <c r="AK46" s="15">
        <f t="shared" ca="1" si="19"/>
        <v>0</v>
      </c>
    </row>
    <row r="47" spans="1:37" ht="14.5" customHeight="1" x14ac:dyDescent="0.35">
      <c r="A47" s="12" t="s">
        <v>63</v>
      </c>
      <c r="B47" s="13">
        <f ca="1">IFERROR(__xludf.DUMMYFUNCTION("GOOGLEFINANCE(""NSE:""&amp;A47,""PRICE"")"),57.3)</f>
        <v>57.3</v>
      </c>
      <c r="C47" s="13">
        <f ca="1">IFERROR(__xludf.DUMMYFUNCTION("GOOGLEFINANCE(""NSE:""&amp;A47,""PRICEOPEN"")"),58.14)</f>
        <v>58.14</v>
      </c>
      <c r="D47" s="13">
        <f ca="1">IFERROR(__xludf.DUMMYFUNCTION("GOOGLEFINANCE(""NSE:""&amp;A47,""HIGH"")"),58.56)</f>
        <v>58.56</v>
      </c>
      <c r="E47" s="13">
        <f ca="1">IFERROR(__xludf.DUMMYFUNCTION("GOOGLEFINANCE(""NSE:""&amp;A47,""LOW"")"),57.11)</f>
        <v>57.11</v>
      </c>
      <c r="F47" s="13">
        <f ca="1">IFERROR(__xludf.DUMMYFUNCTION("GOOGLEFINANCE(""NSE:""&amp;A47,""closeyest"")"),57.84)</f>
        <v>57.84</v>
      </c>
      <c r="G47" s="14">
        <f t="shared" ca="1" si="0"/>
        <v>-1.4659685863874406E-2</v>
      </c>
      <c r="H47" s="13">
        <f ca="1">IFERROR(__xludf.DUMMYFUNCTION("GOOGLEFINANCE(""NSE:""&amp;A47,""VOLUME"")"),13119585)</f>
        <v>13119585</v>
      </c>
      <c r="I47" s="13" t="str">
        <f ca="1">IFERROR(__xludf.DUMMYFUNCTION("AVERAGE(index(GOOGLEFINANCE(""NSE:""&amp;$A47, ""volume"", today()-21, today()-1), , 2))"),"#N/A")</f>
        <v>#N/A</v>
      </c>
      <c r="J47" s="14" t="e">
        <f t="shared" ca="1" si="1"/>
        <v>#VALUE!</v>
      </c>
      <c r="K47" s="13" t="str">
        <f ca="1">IFERROR(__xludf.DUMMYFUNCTION("AVERAGE(index(GOOGLEFINANCE(""NSE:""&amp;$A47, ""close"", today()-6, today()-1), , 2))"),"#N/A")</f>
        <v>#N/A</v>
      </c>
      <c r="L47" s="13" t="str">
        <f ca="1">IFERROR(__xludf.DUMMYFUNCTION("AVERAGE(index(GOOGLEFINANCE(""NSE:""&amp;$A47, ""close"", today()-14, today()-1), , 2))"),"#N/A")</f>
        <v>#N/A</v>
      </c>
      <c r="M47" s="13" t="str">
        <f ca="1">IFERROR(__xludf.DUMMYFUNCTION("AVERAGE(index(GOOGLEFINANCE(""NSE:""&amp;$A47, ""close"", today()-22, today()-1), , 2))"),"#N/A")</f>
        <v>#N/A</v>
      </c>
      <c r="N47" s="13" t="str">
        <f t="shared" ca="1" si="2"/>
        <v>No_Action</v>
      </c>
      <c r="O47" s="13" t="str">
        <f t="shared" ca="1" si="3"/>
        <v>No_Action</v>
      </c>
      <c r="P47" s="13" t="str">
        <f t="shared" ca="1" si="4"/>
        <v>No_Action</v>
      </c>
      <c r="Q47" s="13" t="str">
        <f t="shared" ca="1" si="5"/>
        <v>No_Action</v>
      </c>
      <c r="R47" s="15"/>
      <c r="S47" s="15" t="str">
        <f t="shared" ca="1" si="6"/>
        <v>NoNo</v>
      </c>
      <c r="T47" s="15"/>
      <c r="U47" s="15">
        <f t="shared" ca="1" si="7"/>
        <v>0</v>
      </c>
      <c r="V47" s="15">
        <f t="shared" ca="1" si="8"/>
        <v>0</v>
      </c>
      <c r="W47" s="15" t="str">
        <f t="shared" ca="1" si="9"/>
        <v>No_Action</v>
      </c>
      <c r="X47" s="15"/>
      <c r="Y47" s="15" t="str">
        <f t="shared" ca="1" si="10"/>
        <v>No_Action</v>
      </c>
      <c r="Z47" s="15">
        <f t="shared" ca="1" si="11"/>
        <v>0</v>
      </c>
      <c r="AA47" s="15">
        <f t="shared" ca="1" si="12"/>
        <v>0</v>
      </c>
      <c r="AB47" s="15"/>
      <c r="AC47" s="15" t="str">
        <f t="shared" ca="1" si="13"/>
        <v>NoNo</v>
      </c>
      <c r="AD47" s="15"/>
      <c r="AE47" s="15">
        <f t="shared" ca="1" si="14"/>
        <v>0</v>
      </c>
      <c r="AF47" s="16">
        <f t="shared" ca="1" si="15"/>
        <v>0</v>
      </c>
      <c r="AG47" s="16" t="str">
        <f t="shared" ca="1" si="16"/>
        <v>No_Action</v>
      </c>
      <c r="AH47" s="15"/>
      <c r="AI47" s="15" t="str">
        <f t="shared" ca="1" si="17"/>
        <v>No_Action</v>
      </c>
      <c r="AJ47" s="15">
        <f t="shared" ca="1" si="18"/>
        <v>0</v>
      </c>
      <c r="AK47" s="15">
        <f t="shared" ca="1" si="19"/>
        <v>0</v>
      </c>
    </row>
    <row r="48" spans="1:37" ht="14.5" customHeight="1" x14ac:dyDescent="0.35">
      <c r="A48" s="12" t="s">
        <v>64</v>
      </c>
      <c r="B48" s="13">
        <f ca="1">IFERROR(__xludf.DUMMYFUNCTION("GOOGLEFINANCE(""NSE:""&amp;A48,""PRICE"")"),1445.1)</f>
        <v>1445.1</v>
      </c>
      <c r="C48" s="13">
        <f ca="1">IFERROR(__xludf.DUMMYFUNCTION("GOOGLEFINANCE(""NSE:""&amp;A48,""PRICEOPEN"")"),1448.8)</f>
        <v>1448.8</v>
      </c>
      <c r="D48" s="13">
        <f ca="1">IFERROR(__xludf.DUMMYFUNCTION("GOOGLEFINANCE(""NSE:""&amp;A48,""HIGH"")"),1457.5)</f>
        <v>1457.5</v>
      </c>
      <c r="E48" s="13">
        <f ca="1">IFERROR(__xludf.DUMMYFUNCTION("GOOGLEFINANCE(""NSE:""&amp;A48,""LOW"")"),1439.35)</f>
        <v>1439.35</v>
      </c>
      <c r="F48" s="13">
        <f ca="1">IFERROR(__xludf.DUMMYFUNCTION("GOOGLEFINANCE(""NSE:""&amp;A48,""closeyest"")"),1447)</f>
        <v>1447</v>
      </c>
      <c r="G48" s="14">
        <f t="shared" ca="1" si="0"/>
        <v>-2.5603764445367417E-3</v>
      </c>
      <c r="H48" s="13">
        <f ca="1">IFERROR(__xludf.DUMMYFUNCTION("GOOGLEFINANCE(""NSE:""&amp;A48,""VOLUME"")"),119924)</f>
        <v>119924</v>
      </c>
      <c r="I48" s="13" t="str">
        <f ca="1">IFERROR(__xludf.DUMMYFUNCTION("AVERAGE(index(GOOGLEFINANCE(""NSE:""&amp;$A48, ""volume"", today()-21, today()-1), , 2))"),"#N/A")</f>
        <v>#N/A</v>
      </c>
      <c r="J48" s="14" t="e">
        <f t="shared" ca="1" si="1"/>
        <v>#VALUE!</v>
      </c>
      <c r="K48" s="13" t="str">
        <f ca="1">IFERROR(__xludf.DUMMYFUNCTION("AVERAGE(index(GOOGLEFINANCE(""NSE:""&amp;$A48, ""close"", today()-6, today()-1), , 2))"),"#N/A")</f>
        <v>#N/A</v>
      </c>
      <c r="L48" s="13" t="str">
        <f ca="1">IFERROR(__xludf.DUMMYFUNCTION("AVERAGE(index(GOOGLEFINANCE(""NSE:""&amp;$A48, ""close"", today()-14, today()-1), , 2))"),"#N/A")</f>
        <v>#N/A</v>
      </c>
      <c r="M48" s="13" t="str">
        <f ca="1">IFERROR(__xludf.DUMMYFUNCTION("AVERAGE(index(GOOGLEFINANCE(""NSE:""&amp;$A48, ""close"", today()-22, today()-1), , 2))"),"#N/A")</f>
        <v>#N/A</v>
      </c>
      <c r="N48" s="13" t="str">
        <f t="shared" ca="1" si="2"/>
        <v>No_Action</v>
      </c>
      <c r="O48" s="13" t="str">
        <f t="shared" ca="1" si="3"/>
        <v>No_Action</v>
      </c>
      <c r="P48" s="13" t="str">
        <f t="shared" ca="1" si="4"/>
        <v>No_Action</v>
      </c>
      <c r="Q48" s="13" t="str">
        <f t="shared" ca="1" si="5"/>
        <v>No_Action</v>
      </c>
      <c r="R48" s="15"/>
      <c r="S48" s="15" t="str">
        <f t="shared" ca="1" si="6"/>
        <v>NoNo</v>
      </c>
      <c r="T48" s="15"/>
      <c r="U48" s="15">
        <f t="shared" ca="1" si="7"/>
        <v>0</v>
      </c>
      <c r="V48" s="15">
        <f t="shared" ca="1" si="8"/>
        <v>0</v>
      </c>
      <c r="W48" s="15" t="str">
        <f t="shared" ca="1" si="9"/>
        <v>No_Action</v>
      </c>
      <c r="X48" s="15"/>
      <c r="Y48" s="15" t="str">
        <f t="shared" ca="1" si="10"/>
        <v>No_Action</v>
      </c>
      <c r="Z48" s="15">
        <f t="shared" ca="1" si="11"/>
        <v>0</v>
      </c>
      <c r="AA48" s="15">
        <f t="shared" ca="1" si="12"/>
        <v>0</v>
      </c>
      <c r="AB48" s="15"/>
      <c r="AC48" s="15" t="str">
        <f t="shared" ca="1" si="13"/>
        <v>NoNo</v>
      </c>
      <c r="AD48" s="15"/>
      <c r="AE48" s="15">
        <f t="shared" ca="1" si="14"/>
        <v>0</v>
      </c>
      <c r="AF48" s="16">
        <f t="shared" ca="1" si="15"/>
        <v>0</v>
      </c>
      <c r="AG48" s="16" t="str">
        <f t="shared" ca="1" si="16"/>
        <v>No_Action</v>
      </c>
      <c r="AH48" s="15"/>
      <c r="AI48" s="15" t="str">
        <f t="shared" ca="1" si="17"/>
        <v>No_Action</v>
      </c>
      <c r="AJ48" s="15">
        <f t="shared" ca="1" si="18"/>
        <v>0</v>
      </c>
      <c r="AK48" s="15">
        <f t="shared" ca="1" si="19"/>
        <v>0</v>
      </c>
    </row>
    <row r="49" spans="1:37" ht="14.5" customHeight="1" x14ac:dyDescent="0.35">
      <c r="A49" s="12" t="s">
        <v>65</v>
      </c>
      <c r="B49" s="13">
        <f ca="1">IFERROR(__xludf.DUMMYFUNCTION("GOOGLEFINANCE(""NSE:""&amp;A49,""PRICE"")"),6068)</f>
        <v>6068</v>
      </c>
      <c r="C49" s="13">
        <f ca="1">IFERROR(__xludf.DUMMYFUNCTION("GOOGLEFINANCE(""NSE:""&amp;A49,""PRICEOPEN"")"),6037.95)</f>
        <v>6037.95</v>
      </c>
      <c r="D49" s="13">
        <f ca="1">IFERROR(__xludf.DUMMYFUNCTION("GOOGLEFINANCE(""NSE:""&amp;A49,""HIGH"")"),6105)</f>
        <v>6105</v>
      </c>
      <c r="E49" s="13">
        <f ca="1">IFERROR(__xludf.DUMMYFUNCTION("GOOGLEFINANCE(""NSE:""&amp;A49,""LOW"")"),6009.65)</f>
        <v>6009.65</v>
      </c>
      <c r="F49" s="13">
        <f ca="1">IFERROR(__xludf.DUMMYFUNCTION("GOOGLEFINANCE(""NSE:""&amp;A49,""closeyest"")"),6037.95)</f>
        <v>6037.95</v>
      </c>
      <c r="G49" s="14">
        <f t="shared" ca="1" si="0"/>
        <v>4.9522083058668722E-3</v>
      </c>
      <c r="H49" s="13">
        <f ca="1">IFERROR(__xludf.DUMMYFUNCTION("GOOGLEFINANCE(""NSE:""&amp;A49,""VOLUME"")"),12050)</f>
        <v>12050</v>
      </c>
      <c r="I49" s="13" t="str">
        <f ca="1">IFERROR(__xludf.DUMMYFUNCTION("AVERAGE(index(GOOGLEFINANCE(""NSE:""&amp;$A49, ""volume"", today()-21, today()-1), , 2))"),"#N/A")</f>
        <v>#N/A</v>
      </c>
      <c r="J49" s="14" t="e">
        <f t="shared" ca="1" si="1"/>
        <v>#VALUE!</v>
      </c>
      <c r="K49" s="13" t="str">
        <f ca="1">IFERROR(__xludf.DUMMYFUNCTION("AVERAGE(index(GOOGLEFINANCE(""NSE:""&amp;$A49, ""close"", today()-6, today()-1), , 2))"),"#N/A")</f>
        <v>#N/A</v>
      </c>
      <c r="L49" s="13" t="str">
        <f ca="1">IFERROR(__xludf.DUMMYFUNCTION("AVERAGE(index(GOOGLEFINANCE(""NSE:""&amp;$A49, ""close"", today()-14, today()-1), , 2))"),"#N/A")</f>
        <v>#N/A</v>
      </c>
      <c r="M49" s="13" t="str">
        <f ca="1">IFERROR(__xludf.DUMMYFUNCTION("AVERAGE(index(GOOGLEFINANCE(""NSE:""&amp;$A49, ""close"", today()-22, today()-1), , 2))"),"#N/A")</f>
        <v>#N/A</v>
      </c>
      <c r="N49" s="13" t="str">
        <f t="shared" ca="1" si="2"/>
        <v>No_Action</v>
      </c>
      <c r="O49" s="13" t="str">
        <f t="shared" ca="1" si="3"/>
        <v>No_Action</v>
      </c>
      <c r="P49" s="13" t="str">
        <f t="shared" ca="1" si="4"/>
        <v>No_Action</v>
      </c>
      <c r="Q49" s="13" t="str">
        <f t="shared" ca="1" si="5"/>
        <v>No_Action</v>
      </c>
      <c r="R49" s="15"/>
      <c r="S49" s="15" t="str">
        <f t="shared" ca="1" si="6"/>
        <v>NoNo</v>
      </c>
      <c r="T49" s="15"/>
      <c r="U49" s="15">
        <f t="shared" ca="1" si="7"/>
        <v>0</v>
      </c>
      <c r="V49" s="15">
        <f t="shared" ca="1" si="8"/>
        <v>0</v>
      </c>
      <c r="W49" s="15" t="str">
        <f t="shared" ca="1" si="9"/>
        <v>No_Action</v>
      </c>
      <c r="X49" s="15"/>
      <c r="Y49" s="15" t="str">
        <f t="shared" ca="1" si="10"/>
        <v>No_Action</v>
      </c>
      <c r="Z49" s="15">
        <f t="shared" ca="1" si="11"/>
        <v>0</v>
      </c>
      <c r="AA49" s="15">
        <f t="shared" ca="1" si="12"/>
        <v>0</v>
      </c>
      <c r="AB49" s="15"/>
      <c r="AC49" s="15" t="str">
        <f t="shared" ca="1" si="13"/>
        <v>NoNo</v>
      </c>
      <c r="AD49" s="15"/>
      <c r="AE49" s="15">
        <f t="shared" ca="1" si="14"/>
        <v>0</v>
      </c>
      <c r="AF49" s="16">
        <f t="shared" ca="1" si="15"/>
        <v>0</v>
      </c>
      <c r="AG49" s="16" t="str">
        <f t="shared" ca="1" si="16"/>
        <v>No_Action</v>
      </c>
      <c r="AH49" s="15"/>
      <c r="AI49" s="15" t="str">
        <f t="shared" ca="1" si="17"/>
        <v>No_Action</v>
      </c>
      <c r="AJ49" s="15">
        <f t="shared" ca="1" si="18"/>
        <v>0</v>
      </c>
      <c r="AK49" s="15">
        <f t="shared" ca="1" si="19"/>
        <v>0</v>
      </c>
    </row>
    <row r="50" spans="1:37" ht="14.5" customHeight="1" x14ac:dyDescent="0.35">
      <c r="A50" s="12" t="s">
        <v>66</v>
      </c>
      <c r="B50" s="13">
        <f ca="1">IFERROR(__xludf.DUMMYFUNCTION("GOOGLEFINANCE(""NSE:""&amp;A50,""PRICE"")"),479.85)</f>
        <v>479.85</v>
      </c>
      <c r="C50" s="13">
        <f ca="1">IFERROR(__xludf.DUMMYFUNCTION("GOOGLEFINANCE(""NSE:""&amp;A50,""PRICEOPEN"")"),482)</f>
        <v>482</v>
      </c>
      <c r="D50" s="13">
        <f ca="1">IFERROR(__xludf.DUMMYFUNCTION("GOOGLEFINANCE(""NSE:""&amp;A50,""HIGH"")"),482.9)</f>
        <v>482.9</v>
      </c>
      <c r="E50" s="13">
        <f ca="1">IFERROR(__xludf.DUMMYFUNCTION("GOOGLEFINANCE(""NSE:""&amp;A50,""LOW"")"),474.3)</f>
        <v>474.3</v>
      </c>
      <c r="F50" s="13">
        <f ca="1">IFERROR(__xludf.DUMMYFUNCTION("GOOGLEFINANCE(""NSE:""&amp;A50,""closeyest"")"),480.45)</f>
        <v>480.45</v>
      </c>
      <c r="G50" s="14">
        <f t="shared" ca="1" si="0"/>
        <v>-4.4805668438053087E-3</v>
      </c>
      <c r="H50" s="13">
        <f ca="1">IFERROR(__xludf.DUMMYFUNCTION("GOOGLEFINANCE(""NSE:""&amp;A50,""VOLUME"")"),1214274)</f>
        <v>1214274</v>
      </c>
      <c r="I50" s="13" t="str">
        <f ca="1">IFERROR(__xludf.DUMMYFUNCTION("AVERAGE(index(GOOGLEFINANCE(""NSE:""&amp;$A50, ""volume"", today()-21, today()-1), , 2))"),"#N/A")</f>
        <v>#N/A</v>
      </c>
      <c r="J50" s="14" t="e">
        <f t="shared" ca="1" si="1"/>
        <v>#VALUE!</v>
      </c>
      <c r="K50" s="13" t="str">
        <f ca="1">IFERROR(__xludf.DUMMYFUNCTION("AVERAGE(index(GOOGLEFINANCE(""NSE:""&amp;$A50, ""close"", today()-6, today()-1), , 2))"),"#N/A")</f>
        <v>#N/A</v>
      </c>
      <c r="L50" s="13" t="str">
        <f ca="1">IFERROR(__xludf.DUMMYFUNCTION("AVERAGE(index(GOOGLEFINANCE(""NSE:""&amp;$A50, ""close"", today()-14, today()-1), , 2))"),"#N/A")</f>
        <v>#N/A</v>
      </c>
      <c r="M50" s="13" t="str">
        <f ca="1">IFERROR(__xludf.DUMMYFUNCTION("AVERAGE(index(GOOGLEFINANCE(""NSE:""&amp;$A50, ""close"", today()-22, today()-1), , 2))"),"#N/A")</f>
        <v>#N/A</v>
      </c>
      <c r="N50" s="13" t="str">
        <f t="shared" ca="1" si="2"/>
        <v>No_Action</v>
      </c>
      <c r="O50" s="13" t="str">
        <f t="shared" ca="1" si="3"/>
        <v>No_Action</v>
      </c>
      <c r="P50" s="13" t="str">
        <f t="shared" ca="1" si="4"/>
        <v>No_Action</v>
      </c>
      <c r="Q50" s="13" t="str">
        <f t="shared" ca="1" si="5"/>
        <v>No_Action</v>
      </c>
      <c r="R50" s="15"/>
      <c r="S50" s="15" t="str">
        <f t="shared" ca="1" si="6"/>
        <v>NoNo</v>
      </c>
      <c r="T50" s="15"/>
      <c r="U50" s="15">
        <f t="shared" ca="1" si="7"/>
        <v>0</v>
      </c>
      <c r="V50" s="15">
        <f t="shared" ca="1" si="8"/>
        <v>0</v>
      </c>
      <c r="W50" s="15" t="str">
        <f t="shared" ca="1" si="9"/>
        <v>No_Action</v>
      </c>
      <c r="X50" s="15"/>
      <c r="Y50" s="15" t="str">
        <f t="shared" ca="1" si="10"/>
        <v>No_Action</v>
      </c>
      <c r="Z50" s="15">
        <f t="shared" ca="1" si="11"/>
        <v>0</v>
      </c>
      <c r="AA50" s="15">
        <f t="shared" ca="1" si="12"/>
        <v>0</v>
      </c>
      <c r="AB50" s="15"/>
      <c r="AC50" s="15" t="str">
        <f t="shared" ca="1" si="13"/>
        <v>NoNo</v>
      </c>
      <c r="AD50" s="15"/>
      <c r="AE50" s="15">
        <f t="shared" ca="1" si="14"/>
        <v>0</v>
      </c>
      <c r="AF50" s="16">
        <f t="shared" ca="1" si="15"/>
        <v>0</v>
      </c>
      <c r="AG50" s="16" t="str">
        <f t="shared" ca="1" si="16"/>
        <v>No_Action</v>
      </c>
      <c r="AH50" s="15"/>
      <c r="AI50" s="15" t="str">
        <f t="shared" ca="1" si="17"/>
        <v>No_Action</v>
      </c>
      <c r="AJ50" s="15">
        <f t="shared" ca="1" si="18"/>
        <v>0</v>
      </c>
      <c r="AK50" s="15">
        <f t="shared" ca="1" si="19"/>
        <v>0</v>
      </c>
    </row>
    <row r="51" spans="1:37" ht="14.5" customHeight="1" x14ac:dyDescent="0.35">
      <c r="A51" s="12" t="s">
        <v>67</v>
      </c>
      <c r="B51" s="13">
        <f ca="1">IFERROR(__xludf.DUMMYFUNCTION("GOOGLEFINANCE(""NSE:""&amp;A51,""PRICE"")"),141.95)</f>
        <v>141.94999999999999</v>
      </c>
      <c r="C51" s="13">
        <f ca="1">IFERROR(__xludf.DUMMYFUNCTION("GOOGLEFINANCE(""NSE:""&amp;A51,""PRICEOPEN"")"),143.89)</f>
        <v>143.88999999999999</v>
      </c>
      <c r="D51" s="13">
        <f ca="1">IFERROR(__xludf.DUMMYFUNCTION("GOOGLEFINANCE(""NSE:""&amp;A51,""HIGH"")"),146.45)</f>
        <v>146.44999999999999</v>
      </c>
      <c r="E51" s="13">
        <f ca="1">IFERROR(__xludf.DUMMYFUNCTION("GOOGLEFINANCE(""NSE:""&amp;A51,""LOW"")"),141.04)</f>
        <v>141.04</v>
      </c>
      <c r="F51" s="13">
        <f ca="1">IFERROR(__xludf.DUMMYFUNCTION("GOOGLEFINANCE(""NSE:""&amp;A51,""closeyest"")"),143.27)</f>
        <v>143.27000000000001</v>
      </c>
      <c r="G51" s="14">
        <f t="shared" ca="1" si="0"/>
        <v>-1.3666784078901007E-2</v>
      </c>
      <c r="H51" s="13">
        <f ca="1">IFERROR(__xludf.DUMMYFUNCTION("GOOGLEFINANCE(""NSE:""&amp;A51,""VOLUME"")"),711565)</f>
        <v>711565</v>
      </c>
      <c r="I51" s="13" t="str">
        <f ca="1">IFERROR(__xludf.DUMMYFUNCTION("AVERAGE(index(GOOGLEFINANCE(""NSE:""&amp;$A51, ""volume"", today()-21, today()-1), , 2))"),"#N/A")</f>
        <v>#N/A</v>
      </c>
      <c r="J51" s="14" t="e">
        <f t="shared" ca="1" si="1"/>
        <v>#VALUE!</v>
      </c>
      <c r="K51" s="13" t="str">
        <f ca="1">IFERROR(__xludf.DUMMYFUNCTION("AVERAGE(index(GOOGLEFINANCE(""NSE:""&amp;$A51, ""close"", today()-6, today()-1), , 2))"),"#N/A")</f>
        <v>#N/A</v>
      </c>
      <c r="L51" s="13" t="str">
        <f ca="1">IFERROR(__xludf.DUMMYFUNCTION("AVERAGE(index(GOOGLEFINANCE(""NSE:""&amp;$A51, ""close"", today()-14, today()-1), , 2))"),"#N/A")</f>
        <v>#N/A</v>
      </c>
      <c r="M51" s="13" t="str">
        <f ca="1">IFERROR(__xludf.DUMMYFUNCTION("AVERAGE(index(GOOGLEFINANCE(""NSE:""&amp;$A51, ""close"", today()-22, today()-1), , 2))"),"#N/A")</f>
        <v>#N/A</v>
      </c>
      <c r="N51" s="13" t="str">
        <f t="shared" ca="1" si="2"/>
        <v>No_Action</v>
      </c>
      <c r="O51" s="13" t="str">
        <f t="shared" ca="1" si="3"/>
        <v>No_Action</v>
      </c>
      <c r="P51" s="13" t="str">
        <f t="shared" ca="1" si="4"/>
        <v>No_Action</v>
      </c>
      <c r="Q51" s="13" t="str">
        <f t="shared" ca="1" si="5"/>
        <v>No_Action</v>
      </c>
      <c r="R51" s="15"/>
      <c r="S51" s="15" t="str">
        <f t="shared" ca="1" si="6"/>
        <v>NoNo</v>
      </c>
      <c r="T51" s="15"/>
      <c r="U51" s="15">
        <f t="shared" ca="1" si="7"/>
        <v>0</v>
      </c>
      <c r="V51" s="15">
        <f t="shared" ca="1" si="8"/>
        <v>0</v>
      </c>
      <c r="W51" s="15" t="str">
        <f t="shared" ca="1" si="9"/>
        <v>No_Action</v>
      </c>
      <c r="X51" s="15"/>
      <c r="Y51" s="15" t="str">
        <f t="shared" ca="1" si="10"/>
        <v>No_Action</v>
      </c>
      <c r="Z51" s="15">
        <f t="shared" ca="1" si="11"/>
        <v>0</v>
      </c>
      <c r="AA51" s="15">
        <f t="shared" ca="1" si="12"/>
        <v>0</v>
      </c>
      <c r="AB51" s="15"/>
      <c r="AC51" s="15" t="str">
        <f t="shared" ca="1" si="13"/>
        <v>NoNo</v>
      </c>
      <c r="AD51" s="15"/>
      <c r="AE51" s="15">
        <f t="shared" ca="1" si="14"/>
        <v>0</v>
      </c>
      <c r="AF51" s="16">
        <f t="shared" ca="1" si="15"/>
        <v>0</v>
      </c>
      <c r="AG51" s="16" t="str">
        <f t="shared" ca="1" si="16"/>
        <v>No_Action</v>
      </c>
      <c r="AH51" s="15"/>
      <c r="AI51" s="15" t="str">
        <f t="shared" ca="1" si="17"/>
        <v>No_Action</v>
      </c>
      <c r="AJ51" s="15">
        <f t="shared" ca="1" si="18"/>
        <v>0</v>
      </c>
      <c r="AK51" s="15">
        <f t="shared" ca="1" si="19"/>
        <v>0</v>
      </c>
    </row>
    <row r="52" spans="1:37" ht="14.5" customHeight="1" x14ac:dyDescent="0.35">
      <c r="A52" s="12" t="s">
        <v>68</v>
      </c>
      <c r="B52" s="13">
        <f ca="1">IFERROR(__xludf.DUMMYFUNCTION("GOOGLEFINANCE(""NSE:""&amp;A52,""PRICE"")"),1362.5)</f>
        <v>1362.5</v>
      </c>
      <c r="C52" s="13">
        <f ca="1">IFERROR(__xludf.DUMMYFUNCTION("GOOGLEFINANCE(""NSE:""&amp;A52,""PRICEOPEN"")"),1354.75)</f>
        <v>1354.75</v>
      </c>
      <c r="D52" s="13">
        <f ca="1">IFERROR(__xludf.DUMMYFUNCTION("GOOGLEFINANCE(""NSE:""&amp;A52,""HIGH"")"),1375)</f>
        <v>1375</v>
      </c>
      <c r="E52" s="13">
        <f ca="1">IFERROR(__xludf.DUMMYFUNCTION("GOOGLEFINANCE(""NSE:""&amp;A52,""LOW"")"),1341)</f>
        <v>1341</v>
      </c>
      <c r="F52" s="13">
        <f ca="1">IFERROR(__xludf.DUMMYFUNCTION("GOOGLEFINANCE(""NSE:""&amp;A52,""closeyest"")"),1354.75)</f>
        <v>1354.75</v>
      </c>
      <c r="G52" s="14">
        <f t="shared" ca="1" si="0"/>
        <v>5.688073394495413E-3</v>
      </c>
      <c r="H52" s="13">
        <f ca="1">IFERROR(__xludf.DUMMYFUNCTION("GOOGLEFINANCE(""NSE:""&amp;A52,""VOLUME"")"),909119)</f>
        <v>909119</v>
      </c>
      <c r="I52" s="13" t="str">
        <f ca="1">IFERROR(__xludf.DUMMYFUNCTION("AVERAGE(index(GOOGLEFINANCE(""NSE:""&amp;$A52, ""volume"", today()-21, today()-1), , 2))"),"#N/A")</f>
        <v>#N/A</v>
      </c>
      <c r="J52" s="14" t="e">
        <f t="shared" ca="1" si="1"/>
        <v>#VALUE!</v>
      </c>
      <c r="K52" s="13" t="str">
        <f ca="1">IFERROR(__xludf.DUMMYFUNCTION("AVERAGE(index(GOOGLEFINANCE(""NSE:""&amp;$A52, ""close"", today()-6, today()-1), , 2))"),"#N/A")</f>
        <v>#N/A</v>
      </c>
      <c r="L52" s="13" t="str">
        <f ca="1">IFERROR(__xludf.DUMMYFUNCTION("AVERAGE(index(GOOGLEFINANCE(""NSE:""&amp;$A52, ""close"", today()-14, today()-1), , 2))"),"#N/A")</f>
        <v>#N/A</v>
      </c>
      <c r="M52" s="13" t="str">
        <f ca="1">IFERROR(__xludf.DUMMYFUNCTION("AVERAGE(index(GOOGLEFINANCE(""NSE:""&amp;$A52, ""close"", today()-22, today()-1), , 2))"),"#N/A")</f>
        <v>#N/A</v>
      </c>
      <c r="N52" s="13" t="str">
        <f t="shared" ca="1" si="2"/>
        <v>No_Action</v>
      </c>
      <c r="O52" s="13" t="str">
        <f t="shared" ca="1" si="3"/>
        <v>No_Action</v>
      </c>
      <c r="P52" s="13" t="str">
        <f t="shared" ca="1" si="4"/>
        <v>No_Action</v>
      </c>
      <c r="Q52" s="13" t="str">
        <f t="shared" ca="1" si="5"/>
        <v>No_Action</v>
      </c>
      <c r="R52" s="15"/>
      <c r="S52" s="15" t="str">
        <f t="shared" ca="1" si="6"/>
        <v>NoNo</v>
      </c>
      <c r="T52" s="15"/>
      <c r="U52" s="15">
        <f t="shared" ca="1" si="7"/>
        <v>0</v>
      </c>
      <c r="V52" s="15">
        <f t="shared" ca="1" si="8"/>
        <v>0</v>
      </c>
      <c r="W52" s="15" t="str">
        <f t="shared" ca="1" si="9"/>
        <v>No_Action</v>
      </c>
      <c r="X52" s="15"/>
      <c r="Y52" s="15" t="str">
        <f t="shared" ca="1" si="10"/>
        <v>No_Action</v>
      </c>
      <c r="Z52" s="15">
        <f t="shared" ca="1" si="11"/>
        <v>0</v>
      </c>
      <c r="AA52" s="15">
        <f t="shared" ca="1" si="12"/>
        <v>0</v>
      </c>
      <c r="AB52" s="15"/>
      <c r="AC52" s="15" t="str">
        <f t="shared" ca="1" si="13"/>
        <v>NoNo</v>
      </c>
      <c r="AD52" s="15"/>
      <c r="AE52" s="15">
        <f t="shared" ca="1" si="14"/>
        <v>0</v>
      </c>
      <c r="AF52" s="16">
        <f t="shared" ca="1" si="15"/>
        <v>0</v>
      </c>
      <c r="AG52" s="16" t="str">
        <f t="shared" ca="1" si="16"/>
        <v>No_Action</v>
      </c>
      <c r="AH52" s="15"/>
      <c r="AI52" s="15" t="str">
        <f t="shared" ca="1" si="17"/>
        <v>No_Action</v>
      </c>
      <c r="AJ52" s="15">
        <f t="shared" ca="1" si="18"/>
        <v>0</v>
      </c>
      <c r="AK52" s="15">
        <f t="shared" ca="1" si="19"/>
        <v>0</v>
      </c>
    </row>
    <row r="53" spans="1:37" ht="14.5" customHeight="1" x14ac:dyDescent="0.35">
      <c r="A53" s="12" t="s">
        <v>69</v>
      </c>
      <c r="B53" s="13">
        <f ca="1">IFERROR(__xludf.DUMMYFUNCTION("GOOGLEFINANCE(""NSE:""&amp;A53,""PRICE"")"),11466.7)</f>
        <v>11466.7</v>
      </c>
      <c r="C53" s="13">
        <f ca="1">IFERROR(__xludf.DUMMYFUNCTION("GOOGLEFINANCE(""NSE:""&amp;A53,""PRICEOPEN"")"),11619)</f>
        <v>11619</v>
      </c>
      <c r="D53" s="13">
        <f ca="1">IFERROR(__xludf.DUMMYFUNCTION("GOOGLEFINANCE(""NSE:""&amp;A53,""HIGH"")"),11619)</f>
        <v>11619</v>
      </c>
      <c r="E53" s="13">
        <f ca="1">IFERROR(__xludf.DUMMYFUNCTION("GOOGLEFINANCE(""NSE:""&amp;A53,""LOW"")"),11287.55)</f>
        <v>11287.55</v>
      </c>
      <c r="F53" s="13">
        <f ca="1">IFERROR(__xludf.DUMMYFUNCTION("GOOGLEFINANCE(""NSE:""&amp;A53,""closeyest"")"),11545.35)</f>
        <v>11545.35</v>
      </c>
      <c r="G53" s="14">
        <f t="shared" ca="1" si="0"/>
        <v>-1.328193813390071E-2</v>
      </c>
      <c r="H53" s="13">
        <f ca="1">IFERROR(__xludf.DUMMYFUNCTION("GOOGLEFINANCE(""NSE:""&amp;A53,""VOLUME"")"),2431)</f>
        <v>2431</v>
      </c>
      <c r="I53" s="13" t="str">
        <f ca="1">IFERROR(__xludf.DUMMYFUNCTION("AVERAGE(index(GOOGLEFINANCE(""NSE:""&amp;$A53, ""volume"", today()-21, today()-1), , 2))"),"#N/A")</f>
        <v>#N/A</v>
      </c>
      <c r="J53" s="14" t="e">
        <f t="shared" ca="1" si="1"/>
        <v>#VALUE!</v>
      </c>
      <c r="K53" s="13" t="str">
        <f ca="1">IFERROR(__xludf.DUMMYFUNCTION("AVERAGE(index(GOOGLEFINANCE(""NSE:""&amp;$A53, ""close"", today()-6, today()-1), , 2))"),"#N/A")</f>
        <v>#N/A</v>
      </c>
      <c r="L53" s="13" t="str">
        <f ca="1">IFERROR(__xludf.DUMMYFUNCTION("AVERAGE(index(GOOGLEFINANCE(""NSE:""&amp;$A53, ""close"", today()-14, today()-1), , 2))"),"#N/A")</f>
        <v>#N/A</v>
      </c>
      <c r="M53" s="13" t="str">
        <f ca="1">IFERROR(__xludf.DUMMYFUNCTION("AVERAGE(index(GOOGLEFINANCE(""NSE:""&amp;$A53, ""close"", today()-22, today()-1), , 2))"),"#N/A")</f>
        <v>#N/A</v>
      </c>
      <c r="N53" s="13" t="str">
        <f t="shared" ca="1" si="2"/>
        <v>No_Action</v>
      </c>
      <c r="O53" s="13" t="str">
        <f t="shared" ca="1" si="3"/>
        <v>No_Action</v>
      </c>
      <c r="P53" s="13" t="str">
        <f t="shared" ca="1" si="4"/>
        <v>No_Action</v>
      </c>
      <c r="Q53" s="13" t="str">
        <f t="shared" ca="1" si="5"/>
        <v>No_Action</v>
      </c>
      <c r="R53" s="15"/>
      <c r="S53" s="15" t="str">
        <f t="shared" ca="1" si="6"/>
        <v>NoNo</v>
      </c>
      <c r="T53" s="15"/>
      <c r="U53" s="15">
        <f t="shared" ca="1" si="7"/>
        <v>0</v>
      </c>
      <c r="V53" s="15">
        <f t="shared" ca="1" si="8"/>
        <v>0</v>
      </c>
      <c r="W53" s="15" t="str">
        <f t="shared" ca="1" si="9"/>
        <v>No_Action</v>
      </c>
      <c r="X53" s="15"/>
      <c r="Y53" s="15" t="str">
        <f t="shared" ca="1" si="10"/>
        <v>No_Action</v>
      </c>
      <c r="Z53" s="15">
        <f t="shared" ca="1" si="11"/>
        <v>0</v>
      </c>
      <c r="AA53" s="15">
        <f t="shared" ca="1" si="12"/>
        <v>0</v>
      </c>
      <c r="AB53" s="15"/>
      <c r="AC53" s="15" t="str">
        <f t="shared" ca="1" si="13"/>
        <v>NoNo</v>
      </c>
      <c r="AD53" s="15"/>
      <c r="AE53" s="15">
        <f t="shared" ca="1" si="14"/>
        <v>0</v>
      </c>
      <c r="AF53" s="16">
        <f t="shared" ca="1" si="15"/>
        <v>0</v>
      </c>
      <c r="AG53" s="16" t="str">
        <f t="shared" ca="1" si="16"/>
        <v>No_Action</v>
      </c>
      <c r="AH53" s="15"/>
      <c r="AI53" s="15" t="str">
        <f t="shared" ca="1" si="17"/>
        <v>No_Action</v>
      </c>
      <c r="AJ53" s="15">
        <f t="shared" ca="1" si="18"/>
        <v>0</v>
      </c>
      <c r="AK53" s="15">
        <f t="shared" ca="1" si="19"/>
        <v>0</v>
      </c>
    </row>
    <row r="54" spans="1:37" ht="14.5" customHeight="1" x14ac:dyDescent="0.35">
      <c r="A54" s="12" t="s">
        <v>70</v>
      </c>
      <c r="B54" s="13">
        <f ca="1">IFERROR(__xludf.DUMMYFUNCTION("GOOGLEFINANCE(""NSE:""&amp;A54,""PRICE"")"),239.85)</f>
        <v>239.85</v>
      </c>
      <c r="C54" s="13">
        <f ca="1">IFERROR(__xludf.DUMMYFUNCTION("GOOGLEFINANCE(""NSE:""&amp;A54,""PRICEOPEN"")"),239.7)</f>
        <v>239.7</v>
      </c>
      <c r="D54" s="13">
        <f ca="1">IFERROR(__xludf.DUMMYFUNCTION("GOOGLEFINANCE(""NSE:""&amp;A54,""HIGH"")"),241.02)</f>
        <v>241.02</v>
      </c>
      <c r="E54" s="13">
        <f ca="1">IFERROR(__xludf.DUMMYFUNCTION("GOOGLEFINANCE(""NSE:""&amp;A54,""LOW"")"),236.01)</f>
        <v>236.01</v>
      </c>
      <c r="F54" s="13">
        <f ca="1">IFERROR(__xludf.DUMMYFUNCTION("GOOGLEFINANCE(""NSE:""&amp;A54,""closeyest"")"),238)</f>
        <v>238</v>
      </c>
      <c r="G54" s="14">
        <f t="shared" ca="1" si="0"/>
        <v>6.2539086929333206E-4</v>
      </c>
      <c r="H54" s="13">
        <f ca="1">IFERROR(__xludf.DUMMYFUNCTION("GOOGLEFINANCE(""NSE:""&amp;A54,""VOLUME"")"),64840)</f>
        <v>64840</v>
      </c>
      <c r="I54" s="13" t="str">
        <f ca="1">IFERROR(__xludf.DUMMYFUNCTION("AVERAGE(index(GOOGLEFINANCE(""NSE:""&amp;$A54, ""volume"", today()-21, today()-1), , 2))"),"#N/A")</f>
        <v>#N/A</v>
      </c>
      <c r="J54" s="14" t="e">
        <f t="shared" ca="1" si="1"/>
        <v>#VALUE!</v>
      </c>
      <c r="K54" s="13" t="str">
        <f ca="1">IFERROR(__xludf.DUMMYFUNCTION("AVERAGE(index(GOOGLEFINANCE(""NSE:""&amp;$A54, ""close"", today()-6, today()-1), , 2))"),"#N/A")</f>
        <v>#N/A</v>
      </c>
      <c r="L54" s="13" t="str">
        <f ca="1">IFERROR(__xludf.DUMMYFUNCTION("AVERAGE(index(GOOGLEFINANCE(""NSE:""&amp;$A54, ""close"", today()-14, today()-1), , 2))"),"#N/A")</f>
        <v>#N/A</v>
      </c>
      <c r="M54" s="13" t="str">
        <f ca="1">IFERROR(__xludf.DUMMYFUNCTION("AVERAGE(index(GOOGLEFINANCE(""NSE:""&amp;$A54, ""close"", today()-22, today()-1), , 2))"),"#N/A")</f>
        <v>#N/A</v>
      </c>
      <c r="N54" s="13" t="str">
        <f t="shared" ca="1" si="2"/>
        <v>No_Action</v>
      </c>
      <c r="O54" s="13" t="str">
        <f t="shared" ca="1" si="3"/>
        <v>No_Action</v>
      </c>
      <c r="P54" s="13" t="str">
        <f t="shared" ca="1" si="4"/>
        <v>No_Action</v>
      </c>
      <c r="Q54" s="13" t="str">
        <f t="shared" ca="1" si="5"/>
        <v>No_Action</v>
      </c>
      <c r="R54" s="15"/>
      <c r="S54" s="15" t="str">
        <f t="shared" ca="1" si="6"/>
        <v>NoNo</v>
      </c>
      <c r="T54" s="15"/>
      <c r="U54" s="15">
        <f t="shared" ca="1" si="7"/>
        <v>0</v>
      </c>
      <c r="V54" s="15">
        <f t="shared" ca="1" si="8"/>
        <v>0</v>
      </c>
      <c r="W54" s="15" t="str">
        <f t="shared" ca="1" si="9"/>
        <v>No_Action</v>
      </c>
      <c r="X54" s="15"/>
      <c r="Y54" s="15" t="str">
        <f t="shared" ca="1" si="10"/>
        <v>No_Action</v>
      </c>
      <c r="Z54" s="15">
        <f t="shared" ca="1" si="11"/>
        <v>0</v>
      </c>
      <c r="AA54" s="15">
        <f t="shared" ca="1" si="12"/>
        <v>0</v>
      </c>
      <c r="AB54" s="15"/>
      <c r="AC54" s="15" t="str">
        <f t="shared" ca="1" si="13"/>
        <v>NoNo</v>
      </c>
      <c r="AD54" s="15"/>
      <c r="AE54" s="15">
        <f t="shared" ca="1" si="14"/>
        <v>0</v>
      </c>
      <c r="AF54" s="16">
        <f t="shared" ca="1" si="15"/>
        <v>0</v>
      </c>
      <c r="AG54" s="16" t="str">
        <f t="shared" ca="1" si="16"/>
        <v>No_Action</v>
      </c>
      <c r="AH54" s="15"/>
      <c r="AI54" s="15" t="str">
        <f t="shared" ca="1" si="17"/>
        <v>No_Action</v>
      </c>
      <c r="AJ54" s="15">
        <f t="shared" ca="1" si="18"/>
        <v>0</v>
      </c>
      <c r="AK54" s="15">
        <f t="shared" ca="1" si="19"/>
        <v>0</v>
      </c>
    </row>
    <row r="55" spans="1:37" ht="14.5" customHeight="1" x14ac:dyDescent="0.35">
      <c r="A55" s="12" t="s">
        <v>71</v>
      </c>
      <c r="B55" s="13">
        <f ca="1">IFERROR(__xludf.DUMMYFUNCTION("GOOGLEFINANCE(""NSE:""&amp;A55,""PRICE"")"),1604)</f>
        <v>1604</v>
      </c>
      <c r="C55" s="13">
        <f ca="1">IFERROR(__xludf.DUMMYFUNCTION("GOOGLEFINANCE(""NSE:""&amp;A55,""PRICEOPEN"")"),1595.9)</f>
        <v>1595.9</v>
      </c>
      <c r="D55" s="13">
        <f ca="1">IFERROR(__xludf.DUMMYFUNCTION("GOOGLEFINANCE(""NSE:""&amp;A55,""HIGH"")"),1605.9)</f>
        <v>1605.9</v>
      </c>
      <c r="E55" s="13">
        <f ca="1">IFERROR(__xludf.DUMMYFUNCTION("GOOGLEFINANCE(""NSE:""&amp;A55,""LOW"")"),1589.05)</f>
        <v>1589.05</v>
      </c>
      <c r="F55" s="13">
        <f ca="1">IFERROR(__xludf.DUMMYFUNCTION("GOOGLEFINANCE(""NSE:""&amp;A55,""closeyest"")"),1597.85)</f>
        <v>1597.85</v>
      </c>
      <c r="G55" s="14">
        <f t="shared" ca="1" si="0"/>
        <v>5.0498753117206412E-3</v>
      </c>
      <c r="H55" s="13">
        <f ca="1">IFERROR(__xludf.DUMMYFUNCTION("GOOGLEFINANCE(""NSE:""&amp;A55,""VOLUME"")"),4264409)</f>
        <v>4264409</v>
      </c>
      <c r="I55" s="13" t="str">
        <f ca="1">IFERROR(__xludf.DUMMYFUNCTION("AVERAGE(index(GOOGLEFINANCE(""NSE:""&amp;$A55, ""volume"", today()-21, today()-1), , 2))"),"#N/A")</f>
        <v>#N/A</v>
      </c>
      <c r="J55" s="14" t="e">
        <f t="shared" ca="1" si="1"/>
        <v>#VALUE!</v>
      </c>
      <c r="K55" s="13" t="str">
        <f ca="1">IFERROR(__xludf.DUMMYFUNCTION("AVERAGE(index(GOOGLEFINANCE(""NSE:""&amp;$A55, ""close"", today()-6, today()-1), , 2))"),"#N/A")</f>
        <v>#N/A</v>
      </c>
      <c r="L55" s="13" t="str">
        <f ca="1">IFERROR(__xludf.DUMMYFUNCTION("AVERAGE(index(GOOGLEFINANCE(""NSE:""&amp;$A55, ""close"", today()-14, today()-1), , 2))"),"#N/A")</f>
        <v>#N/A</v>
      </c>
      <c r="M55" s="13" t="str">
        <f ca="1">IFERROR(__xludf.DUMMYFUNCTION("AVERAGE(index(GOOGLEFINANCE(""NSE:""&amp;$A55, ""close"", today()-22, today()-1), , 2))"),"#N/A")</f>
        <v>#N/A</v>
      </c>
      <c r="N55" s="13" t="str">
        <f t="shared" ca="1" si="2"/>
        <v>No_Action</v>
      </c>
      <c r="O55" s="13" t="str">
        <f t="shared" ca="1" si="3"/>
        <v>No_Action</v>
      </c>
      <c r="P55" s="13" t="str">
        <f t="shared" ca="1" si="4"/>
        <v>No_Action</v>
      </c>
      <c r="Q55" s="13" t="str">
        <f t="shared" ca="1" si="5"/>
        <v>No_Action</v>
      </c>
      <c r="R55" s="15"/>
      <c r="S55" s="15" t="str">
        <f t="shared" ca="1" si="6"/>
        <v>NoNo</v>
      </c>
      <c r="T55" s="15"/>
      <c r="U55" s="15">
        <f t="shared" ca="1" si="7"/>
        <v>0</v>
      </c>
      <c r="V55" s="15">
        <f t="shared" ca="1" si="8"/>
        <v>0</v>
      </c>
      <c r="W55" s="15" t="str">
        <f t="shared" ca="1" si="9"/>
        <v>No_Action</v>
      </c>
      <c r="X55" s="15"/>
      <c r="Y55" s="15" t="str">
        <f t="shared" ca="1" si="10"/>
        <v>No_Action</v>
      </c>
      <c r="Z55" s="15">
        <f t="shared" ca="1" si="11"/>
        <v>0</v>
      </c>
      <c r="AA55" s="15">
        <f t="shared" ca="1" si="12"/>
        <v>0</v>
      </c>
      <c r="AB55" s="15"/>
      <c r="AC55" s="15" t="str">
        <f t="shared" ca="1" si="13"/>
        <v>NoNo</v>
      </c>
      <c r="AD55" s="15"/>
      <c r="AE55" s="15">
        <f t="shared" ca="1" si="14"/>
        <v>0</v>
      </c>
      <c r="AF55" s="16">
        <f t="shared" ca="1" si="15"/>
        <v>0</v>
      </c>
      <c r="AG55" s="16" t="str">
        <f t="shared" ca="1" si="16"/>
        <v>No_Action</v>
      </c>
      <c r="AH55" s="15"/>
      <c r="AI55" s="15" t="str">
        <f t="shared" ca="1" si="17"/>
        <v>No_Action</v>
      </c>
      <c r="AJ55" s="15">
        <f t="shared" ca="1" si="18"/>
        <v>0</v>
      </c>
      <c r="AK55" s="15">
        <f t="shared" ca="1" si="19"/>
        <v>0</v>
      </c>
    </row>
    <row r="56" spans="1:37" ht="14.5" customHeight="1" x14ac:dyDescent="0.35">
      <c r="A56" s="12" t="s">
        <v>72</v>
      </c>
      <c r="B56" s="13">
        <f ca="1">IFERROR(__xludf.DUMMYFUNCTION("GOOGLEFINANCE(""NSE:""&amp;A56,""PRICE"")"),449)</f>
        <v>449</v>
      </c>
      <c r="C56" s="13">
        <f ca="1">IFERROR(__xludf.DUMMYFUNCTION("GOOGLEFINANCE(""NSE:""&amp;A56,""PRICEOPEN"")"),429.9)</f>
        <v>429.9</v>
      </c>
      <c r="D56" s="13">
        <f ca="1">IFERROR(__xludf.DUMMYFUNCTION("GOOGLEFINANCE(""NSE:""&amp;A56,""HIGH"")"),450)</f>
        <v>450</v>
      </c>
      <c r="E56" s="13">
        <f ca="1">IFERROR(__xludf.DUMMYFUNCTION("GOOGLEFINANCE(""NSE:""&amp;A56,""LOW"")"),426.3)</f>
        <v>426.3</v>
      </c>
      <c r="F56" s="13">
        <f ca="1">IFERROR(__xludf.DUMMYFUNCTION("GOOGLEFINANCE(""NSE:""&amp;A56,""closeyest"")"),430.05)</f>
        <v>430.05</v>
      </c>
      <c r="G56" s="14">
        <f t="shared" ca="1" si="0"/>
        <v>4.2538975501113636E-2</v>
      </c>
      <c r="H56" s="13">
        <f ca="1">IFERROR(__xludf.DUMMYFUNCTION("GOOGLEFINANCE(""NSE:""&amp;A56,""VOLUME"")"),5955781)</f>
        <v>5955781</v>
      </c>
      <c r="I56" s="13" t="str">
        <f ca="1">IFERROR(__xludf.DUMMYFUNCTION("AVERAGE(index(GOOGLEFINANCE(""NSE:""&amp;$A56, ""volume"", today()-21, today()-1), , 2))"),"#N/A")</f>
        <v>#N/A</v>
      </c>
      <c r="J56" s="14" t="e">
        <f t="shared" ca="1" si="1"/>
        <v>#VALUE!</v>
      </c>
      <c r="K56" s="13" t="str">
        <f ca="1">IFERROR(__xludf.DUMMYFUNCTION("AVERAGE(index(GOOGLEFINANCE(""NSE:""&amp;$A56, ""close"", today()-6, today()-1), , 2))"),"#N/A")</f>
        <v>#N/A</v>
      </c>
      <c r="L56" s="13" t="str">
        <f ca="1">IFERROR(__xludf.DUMMYFUNCTION("AVERAGE(index(GOOGLEFINANCE(""NSE:""&amp;$A56, ""close"", today()-14, today()-1), , 2))"),"#N/A")</f>
        <v>#N/A</v>
      </c>
      <c r="M56" s="13" t="str">
        <f ca="1">IFERROR(__xludf.DUMMYFUNCTION("AVERAGE(index(GOOGLEFINANCE(""NSE:""&amp;$A56, ""close"", today()-22, today()-1), , 2))"),"#N/A")</f>
        <v>#N/A</v>
      </c>
      <c r="N56" s="13" t="str">
        <f t="shared" ca="1" si="2"/>
        <v>No_Action</v>
      </c>
      <c r="O56" s="13" t="str">
        <f t="shared" ca="1" si="3"/>
        <v>No_Action</v>
      </c>
      <c r="P56" s="13" t="str">
        <f t="shared" ca="1" si="4"/>
        <v>No_Action</v>
      </c>
      <c r="Q56" s="13" t="str">
        <f t="shared" ca="1" si="5"/>
        <v>No_Action</v>
      </c>
      <c r="R56" s="15"/>
      <c r="S56" s="15" t="str">
        <f t="shared" ca="1" si="6"/>
        <v>NoNo</v>
      </c>
      <c r="T56" s="15"/>
      <c r="U56" s="15">
        <f t="shared" ca="1" si="7"/>
        <v>0</v>
      </c>
      <c r="V56" s="15">
        <f t="shared" ca="1" si="8"/>
        <v>0</v>
      </c>
      <c r="W56" s="15" t="str">
        <f t="shared" ca="1" si="9"/>
        <v>No_Action</v>
      </c>
      <c r="X56" s="15"/>
      <c r="Y56" s="15" t="str">
        <f t="shared" ca="1" si="10"/>
        <v>No_Action</v>
      </c>
      <c r="Z56" s="15">
        <f t="shared" ca="1" si="11"/>
        <v>0</v>
      </c>
      <c r="AA56" s="15">
        <f t="shared" ca="1" si="12"/>
        <v>0</v>
      </c>
      <c r="AB56" s="15"/>
      <c r="AC56" s="15" t="str">
        <f t="shared" ca="1" si="13"/>
        <v>NoNo</v>
      </c>
      <c r="AD56" s="15"/>
      <c r="AE56" s="15">
        <f t="shared" ca="1" si="14"/>
        <v>0</v>
      </c>
      <c r="AF56" s="16">
        <f t="shared" ca="1" si="15"/>
        <v>0</v>
      </c>
      <c r="AG56" s="16" t="str">
        <f t="shared" ca="1" si="16"/>
        <v>No_Action</v>
      </c>
      <c r="AH56" s="15"/>
      <c r="AI56" s="15" t="str">
        <f t="shared" ca="1" si="17"/>
        <v>No_Action</v>
      </c>
      <c r="AJ56" s="15">
        <f t="shared" ca="1" si="18"/>
        <v>0</v>
      </c>
      <c r="AK56" s="15">
        <f t="shared" ca="1" si="19"/>
        <v>0</v>
      </c>
    </row>
    <row r="57" spans="1:37" ht="14.5" customHeight="1" x14ac:dyDescent="0.35">
      <c r="A57" s="12" t="s">
        <v>73</v>
      </c>
      <c r="B57" s="13">
        <f ca="1">IFERROR(__xludf.DUMMYFUNCTION("GOOGLEFINANCE(""NSE:""&amp;A57,""PRICE"")"),7790)</f>
        <v>7790</v>
      </c>
      <c r="C57" s="13">
        <f ca="1">IFERROR(__xludf.DUMMYFUNCTION("GOOGLEFINANCE(""NSE:""&amp;A57,""PRICEOPEN"")"),7650)</f>
        <v>7650</v>
      </c>
      <c r="D57" s="13">
        <f ca="1">IFERROR(__xludf.DUMMYFUNCTION("GOOGLEFINANCE(""NSE:""&amp;A57,""HIGH"")"),7830)</f>
        <v>7830</v>
      </c>
      <c r="E57" s="13">
        <f ca="1">IFERROR(__xludf.DUMMYFUNCTION("GOOGLEFINANCE(""NSE:""&amp;A57,""LOW"")"),7650)</f>
        <v>7650</v>
      </c>
      <c r="F57" s="13">
        <f ca="1">IFERROR(__xludf.DUMMYFUNCTION("GOOGLEFINANCE(""NSE:""&amp;A57,""closeyest"")"),7688.4)</f>
        <v>7688.4</v>
      </c>
      <c r="G57" s="14">
        <f t="shared" ca="1" si="0"/>
        <v>1.7971758664955071E-2</v>
      </c>
      <c r="H57" s="13">
        <f ca="1">IFERROR(__xludf.DUMMYFUNCTION("GOOGLEFINANCE(""NSE:""&amp;A57,""VOLUME"")"),7782)</f>
        <v>7782</v>
      </c>
      <c r="I57" s="13" t="str">
        <f ca="1">IFERROR(__xludf.DUMMYFUNCTION("AVERAGE(index(GOOGLEFINANCE(""NSE:""&amp;$A57, ""volume"", today()-21, today()-1), , 2))"),"#N/A")</f>
        <v>#N/A</v>
      </c>
      <c r="J57" s="14" t="e">
        <f t="shared" ca="1" si="1"/>
        <v>#VALUE!</v>
      </c>
      <c r="K57" s="13" t="str">
        <f ca="1">IFERROR(__xludf.DUMMYFUNCTION("AVERAGE(index(GOOGLEFINANCE(""NSE:""&amp;$A57, ""close"", today()-6, today()-1), , 2))"),"#N/A")</f>
        <v>#N/A</v>
      </c>
      <c r="L57" s="13" t="str">
        <f ca="1">IFERROR(__xludf.DUMMYFUNCTION("AVERAGE(index(GOOGLEFINANCE(""NSE:""&amp;$A57, ""close"", today()-14, today()-1), , 2))"),"#N/A")</f>
        <v>#N/A</v>
      </c>
      <c r="M57" s="13" t="str">
        <f ca="1">IFERROR(__xludf.DUMMYFUNCTION("AVERAGE(index(GOOGLEFINANCE(""NSE:""&amp;$A57, ""close"", today()-22, today()-1), , 2))"),"#N/A")</f>
        <v>#N/A</v>
      </c>
      <c r="N57" s="13" t="str">
        <f t="shared" ca="1" si="2"/>
        <v>No_Action</v>
      </c>
      <c r="O57" s="13" t="str">
        <f t="shared" ca="1" si="3"/>
        <v>No_Action</v>
      </c>
      <c r="P57" s="13" t="str">
        <f t="shared" ca="1" si="4"/>
        <v>No_Action</v>
      </c>
      <c r="Q57" s="13" t="str">
        <f t="shared" ca="1" si="5"/>
        <v>No_Action</v>
      </c>
      <c r="R57" s="15"/>
      <c r="S57" s="15" t="str">
        <f t="shared" ca="1" si="6"/>
        <v>NoNo</v>
      </c>
      <c r="T57" s="15"/>
      <c r="U57" s="15">
        <f t="shared" ca="1" si="7"/>
        <v>0</v>
      </c>
      <c r="V57" s="15">
        <f t="shared" ca="1" si="8"/>
        <v>0</v>
      </c>
      <c r="W57" s="15" t="str">
        <f t="shared" ca="1" si="9"/>
        <v>No_Action</v>
      </c>
      <c r="X57" s="15"/>
      <c r="Y57" s="15" t="str">
        <f t="shared" ca="1" si="10"/>
        <v>No_Action</v>
      </c>
      <c r="Z57" s="15">
        <f t="shared" ca="1" si="11"/>
        <v>0</v>
      </c>
      <c r="AA57" s="15">
        <f t="shared" ca="1" si="12"/>
        <v>0</v>
      </c>
      <c r="AB57" s="15"/>
      <c r="AC57" s="15" t="str">
        <f t="shared" ca="1" si="13"/>
        <v>NoNo</v>
      </c>
      <c r="AD57" s="15"/>
      <c r="AE57" s="15">
        <f t="shared" ca="1" si="14"/>
        <v>0</v>
      </c>
      <c r="AF57" s="16">
        <f t="shared" ca="1" si="15"/>
        <v>0</v>
      </c>
      <c r="AG57" s="16" t="str">
        <f t="shared" ca="1" si="16"/>
        <v>No_Action</v>
      </c>
      <c r="AH57" s="15"/>
      <c r="AI57" s="15" t="str">
        <f t="shared" ca="1" si="17"/>
        <v>No_Action</v>
      </c>
      <c r="AJ57" s="15">
        <f t="shared" ca="1" si="18"/>
        <v>0</v>
      </c>
      <c r="AK57" s="15">
        <f t="shared" ca="1" si="19"/>
        <v>0</v>
      </c>
    </row>
    <row r="58" spans="1:37" ht="14.5" customHeight="1" x14ac:dyDescent="0.35">
      <c r="A58" s="12" t="s">
        <v>74</v>
      </c>
      <c r="B58" s="13">
        <f ca="1">IFERROR(__xludf.DUMMYFUNCTION("GOOGLEFINANCE(""NSE:""&amp;A58,""PRICE"")"),2095)</f>
        <v>2095</v>
      </c>
      <c r="C58" s="13">
        <f ca="1">IFERROR(__xludf.DUMMYFUNCTION("GOOGLEFINANCE(""NSE:""&amp;A58,""PRICEOPEN"")"),2082.5)</f>
        <v>2082.5</v>
      </c>
      <c r="D58" s="13">
        <f ca="1">IFERROR(__xludf.DUMMYFUNCTION("GOOGLEFINANCE(""NSE:""&amp;A58,""HIGH"")"),2138.4)</f>
        <v>2138.4</v>
      </c>
      <c r="E58" s="13">
        <f ca="1">IFERROR(__xludf.DUMMYFUNCTION("GOOGLEFINANCE(""NSE:""&amp;A58,""LOW"")"),2015)</f>
        <v>2015</v>
      </c>
      <c r="F58" s="13">
        <f ca="1">IFERROR(__xludf.DUMMYFUNCTION("GOOGLEFINANCE(""NSE:""&amp;A58,""closeyest"")"),2082.05)</f>
        <v>2082.0500000000002</v>
      </c>
      <c r="G58" s="14">
        <f t="shared" ca="1" si="0"/>
        <v>5.9665871121718375E-3</v>
      </c>
      <c r="H58" s="13">
        <f ca="1">IFERROR(__xludf.DUMMYFUNCTION("GOOGLEFINANCE(""NSE:""&amp;A58,""VOLUME"")"),530463)</f>
        <v>530463</v>
      </c>
      <c r="I58" s="13" t="str">
        <f ca="1">IFERROR(__xludf.DUMMYFUNCTION("AVERAGE(index(GOOGLEFINANCE(""NSE:""&amp;$A58, ""volume"", today()-21, today()-1), , 2))"),"#N/A")</f>
        <v>#N/A</v>
      </c>
      <c r="J58" s="14" t="e">
        <f t="shared" ca="1" si="1"/>
        <v>#VALUE!</v>
      </c>
      <c r="K58" s="13" t="str">
        <f ca="1">IFERROR(__xludf.DUMMYFUNCTION("AVERAGE(index(GOOGLEFINANCE(""NSE:""&amp;$A58, ""close"", today()-6, today()-1), , 2))"),"#N/A")</f>
        <v>#N/A</v>
      </c>
      <c r="L58" s="13" t="str">
        <f ca="1">IFERROR(__xludf.DUMMYFUNCTION("AVERAGE(index(GOOGLEFINANCE(""NSE:""&amp;$A58, ""close"", today()-14, today()-1), , 2))"),"#N/A")</f>
        <v>#N/A</v>
      </c>
      <c r="M58" s="13" t="str">
        <f ca="1">IFERROR(__xludf.DUMMYFUNCTION("AVERAGE(index(GOOGLEFINANCE(""NSE:""&amp;$A58, ""close"", today()-22, today()-1), , 2))"),"#N/A")</f>
        <v>#N/A</v>
      </c>
      <c r="N58" s="13" t="str">
        <f t="shared" ca="1" si="2"/>
        <v>No_Action</v>
      </c>
      <c r="O58" s="13" t="str">
        <f t="shared" ca="1" si="3"/>
        <v>No_Action</v>
      </c>
      <c r="P58" s="13" t="str">
        <f t="shared" ca="1" si="4"/>
        <v>No_Action</v>
      </c>
      <c r="Q58" s="13" t="str">
        <f t="shared" ca="1" si="5"/>
        <v>No_Action</v>
      </c>
      <c r="R58" s="15"/>
      <c r="S58" s="15" t="str">
        <f t="shared" ca="1" si="6"/>
        <v>NoNo</v>
      </c>
      <c r="T58" s="15"/>
      <c r="U58" s="15">
        <f t="shared" ca="1" si="7"/>
        <v>0</v>
      </c>
      <c r="V58" s="15">
        <f t="shared" ca="1" si="8"/>
        <v>0</v>
      </c>
      <c r="W58" s="15" t="str">
        <f t="shared" ca="1" si="9"/>
        <v>No_Action</v>
      </c>
      <c r="X58" s="15"/>
      <c r="Y58" s="15" t="str">
        <f t="shared" ca="1" si="10"/>
        <v>No_Action</v>
      </c>
      <c r="Z58" s="15">
        <f t="shared" ca="1" si="11"/>
        <v>0</v>
      </c>
      <c r="AA58" s="15">
        <f t="shared" ca="1" si="12"/>
        <v>0</v>
      </c>
      <c r="AB58" s="15"/>
      <c r="AC58" s="15" t="str">
        <f t="shared" ca="1" si="13"/>
        <v>NoNo</v>
      </c>
      <c r="AD58" s="15"/>
      <c r="AE58" s="15">
        <f t="shared" ca="1" si="14"/>
        <v>0</v>
      </c>
      <c r="AF58" s="16">
        <f t="shared" ca="1" si="15"/>
        <v>0</v>
      </c>
      <c r="AG58" s="16" t="str">
        <f t="shared" ca="1" si="16"/>
        <v>No_Action</v>
      </c>
      <c r="AH58" s="15"/>
      <c r="AI58" s="15" t="str">
        <f t="shared" ca="1" si="17"/>
        <v>No_Action</v>
      </c>
      <c r="AJ58" s="15">
        <f t="shared" ca="1" si="18"/>
        <v>0</v>
      </c>
      <c r="AK58" s="15">
        <f t="shared" ca="1" si="19"/>
        <v>0</v>
      </c>
    </row>
    <row r="59" spans="1:37" ht="14.5" customHeight="1" x14ac:dyDescent="0.35">
      <c r="A59" s="12" t="s">
        <v>75</v>
      </c>
      <c r="B59" s="13">
        <f ca="1">IFERROR(__xludf.DUMMYFUNCTION("GOOGLEFINANCE(""NSE:""&amp;A59,""PRICE"")"),2370)</f>
        <v>2370</v>
      </c>
      <c r="C59" s="13">
        <f ca="1">IFERROR(__xludf.DUMMYFUNCTION("GOOGLEFINANCE(""NSE:""&amp;A59,""PRICEOPEN"")"),2355.45)</f>
        <v>2355.4499999999998</v>
      </c>
      <c r="D59" s="13">
        <f ca="1">IFERROR(__xludf.DUMMYFUNCTION("GOOGLEFINANCE(""NSE:""&amp;A59,""HIGH"")"),2487.65)</f>
        <v>2487.65</v>
      </c>
      <c r="E59" s="13">
        <f ca="1">IFERROR(__xludf.DUMMYFUNCTION("GOOGLEFINANCE(""NSE:""&amp;A59,""LOW"")"),2355.45)</f>
        <v>2355.4499999999998</v>
      </c>
      <c r="F59" s="13">
        <f ca="1">IFERROR(__xludf.DUMMYFUNCTION("GOOGLEFINANCE(""NSE:""&amp;A59,""closeyest"")"),2355.45)</f>
        <v>2355.4499999999998</v>
      </c>
      <c r="G59" s="14">
        <f t="shared" ca="1" si="0"/>
        <v>6.139240506329191E-3</v>
      </c>
      <c r="H59" s="13">
        <f ca="1">IFERROR(__xludf.DUMMYFUNCTION("GOOGLEFINANCE(""NSE:""&amp;A59,""VOLUME"")"),222284)</f>
        <v>222284</v>
      </c>
      <c r="I59" s="13" t="str">
        <f ca="1">IFERROR(__xludf.DUMMYFUNCTION("AVERAGE(index(GOOGLEFINANCE(""NSE:""&amp;$A59, ""volume"", today()-21, today()-1), , 2))"),"#N/A")</f>
        <v>#N/A</v>
      </c>
      <c r="J59" s="14" t="e">
        <f t="shared" ca="1" si="1"/>
        <v>#VALUE!</v>
      </c>
      <c r="K59" s="13" t="str">
        <f ca="1">IFERROR(__xludf.DUMMYFUNCTION("AVERAGE(index(GOOGLEFINANCE(""NSE:""&amp;$A59, ""close"", today()-6, today()-1), , 2))"),"#N/A")</f>
        <v>#N/A</v>
      </c>
      <c r="L59" s="13" t="str">
        <f ca="1">IFERROR(__xludf.DUMMYFUNCTION("AVERAGE(index(GOOGLEFINANCE(""NSE:""&amp;$A59, ""close"", today()-14, today()-1), , 2))"),"#N/A")</f>
        <v>#N/A</v>
      </c>
      <c r="M59" s="13" t="str">
        <f ca="1">IFERROR(__xludf.DUMMYFUNCTION("AVERAGE(index(GOOGLEFINANCE(""NSE:""&amp;$A59, ""close"", today()-22, today()-1), , 2))"),"#N/A")</f>
        <v>#N/A</v>
      </c>
      <c r="N59" s="13" t="str">
        <f t="shared" ca="1" si="2"/>
        <v>No_Action</v>
      </c>
      <c r="O59" s="13" t="str">
        <f t="shared" ca="1" si="3"/>
        <v>No_Action</v>
      </c>
      <c r="P59" s="13" t="str">
        <f t="shared" ca="1" si="4"/>
        <v>No_Action</v>
      </c>
      <c r="Q59" s="13" t="str">
        <f t="shared" ca="1" si="5"/>
        <v>No_Action</v>
      </c>
      <c r="R59" s="15"/>
      <c r="S59" s="15" t="str">
        <f t="shared" ca="1" si="6"/>
        <v>NoNo</v>
      </c>
      <c r="T59" s="15"/>
      <c r="U59" s="15">
        <f t="shared" ca="1" si="7"/>
        <v>0</v>
      </c>
      <c r="V59" s="15">
        <f t="shared" ca="1" si="8"/>
        <v>0</v>
      </c>
      <c r="W59" s="15" t="str">
        <f t="shared" ca="1" si="9"/>
        <v>No_Action</v>
      </c>
      <c r="X59" s="15"/>
      <c r="Y59" s="15" t="str">
        <f t="shared" ca="1" si="10"/>
        <v>No_Action</v>
      </c>
      <c r="Z59" s="15">
        <f t="shared" ca="1" si="11"/>
        <v>0</v>
      </c>
      <c r="AA59" s="15">
        <f t="shared" ca="1" si="12"/>
        <v>0</v>
      </c>
      <c r="AB59" s="15"/>
      <c r="AC59" s="15" t="str">
        <f t="shared" ca="1" si="13"/>
        <v>NoNo</v>
      </c>
      <c r="AD59" s="15"/>
      <c r="AE59" s="15">
        <f t="shared" ca="1" si="14"/>
        <v>0</v>
      </c>
      <c r="AF59" s="16">
        <f t="shared" ca="1" si="15"/>
        <v>0</v>
      </c>
      <c r="AG59" s="16" t="str">
        <f t="shared" ca="1" si="16"/>
        <v>No_Action</v>
      </c>
      <c r="AH59" s="15"/>
      <c r="AI59" s="15" t="str">
        <f t="shared" ca="1" si="17"/>
        <v>No_Action</v>
      </c>
      <c r="AJ59" s="15">
        <f t="shared" ca="1" si="18"/>
        <v>0</v>
      </c>
      <c r="AK59" s="15">
        <f t="shared" ca="1" si="19"/>
        <v>0</v>
      </c>
    </row>
    <row r="60" spans="1:37" ht="14.5" customHeight="1" x14ac:dyDescent="0.35">
      <c r="A60" s="12" t="s">
        <v>76</v>
      </c>
      <c r="B60" s="13">
        <f ca="1">IFERROR(__xludf.DUMMYFUNCTION("GOOGLEFINANCE(""NSE:""&amp;A60,""PRICE"")"),475)</f>
        <v>475</v>
      </c>
      <c r="C60" s="13">
        <f ca="1">IFERROR(__xludf.DUMMYFUNCTION("GOOGLEFINANCE(""NSE:""&amp;A60,""PRICEOPEN"")"),467)</f>
        <v>467</v>
      </c>
      <c r="D60" s="13">
        <f ca="1">IFERROR(__xludf.DUMMYFUNCTION("GOOGLEFINANCE(""NSE:""&amp;A60,""HIGH"")"),483.35)</f>
        <v>483.35</v>
      </c>
      <c r="E60" s="13">
        <f ca="1">IFERROR(__xludf.DUMMYFUNCTION("GOOGLEFINANCE(""NSE:""&amp;A60,""LOW"")"),463.95)</f>
        <v>463.95</v>
      </c>
      <c r="F60" s="13">
        <f ca="1">IFERROR(__xludf.DUMMYFUNCTION("GOOGLEFINANCE(""NSE:""&amp;A60,""closeyest"")"),469.85)</f>
        <v>469.85</v>
      </c>
      <c r="G60" s="14">
        <f t="shared" ca="1" si="0"/>
        <v>1.6842105263157894E-2</v>
      </c>
      <c r="H60" s="13">
        <f ca="1">IFERROR(__xludf.DUMMYFUNCTION("GOOGLEFINANCE(""NSE:""&amp;A60,""VOLUME"")"),188615)</f>
        <v>188615</v>
      </c>
      <c r="I60" s="13" t="str">
        <f ca="1">IFERROR(__xludf.DUMMYFUNCTION("AVERAGE(index(GOOGLEFINANCE(""NSE:""&amp;$A60, ""volume"", today()-21, today()-1), , 2))"),"#N/A")</f>
        <v>#N/A</v>
      </c>
      <c r="J60" s="14" t="e">
        <f t="shared" ca="1" si="1"/>
        <v>#VALUE!</v>
      </c>
      <c r="K60" s="13" t="str">
        <f ca="1">IFERROR(__xludf.DUMMYFUNCTION("AVERAGE(index(GOOGLEFINANCE(""NSE:""&amp;$A60, ""close"", today()-6, today()-1), , 2))"),"#N/A")</f>
        <v>#N/A</v>
      </c>
      <c r="L60" s="13" t="str">
        <f ca="1">IFERROR(__xludf.DUMMYFUNCTION("AVERAGE(index(GOOGLEFINANCE(""NSE:""&amp;$A60, ""close"", today()-14, today()-1), , 2))"),"#N/A")</f>
        <v>#N/A</v>
      </c>
      <c r="M60" s="13" t="str">
        <f ca="1">IFERROR(__xludf.DUMMYFUNCTION("AVERAGE(index(GOOGLEFINANCE(""NSE:""&amp;$A60, ""close"", today()-22, today()-1), , 2))"),"#N/A")</f>
        <v>#N/A</v>
      </c>
      <c r="N60" s="13" t="str">
        <f t="shared" ca="1" si="2"/>
        <v>No_Action</v>
      </c>
      <c r="O60" s="13" t="str">
        <f t="shared" ca="1" si="3"/>
        <v>No_Action</v>
      </c>
      <c r="P60" s="13" t="str">
        <f t="shared" ca="1" si="4"/>
        <v>No_Action</v>
      </c>
      <c r="Q60" s="13" t="str">
        <f t="shared" ca="1" si="5"/>
        <v>No_Action</v>
      </c>
      <c r="R60" s="15"/>
      <c r="S60" s="15" t="str">
        <f t="shared" ca="1" si="6"/>
        <v>NoNo</v>
      </c>
      <c r="T60" s="15"/>
      <c r="U60" s="15">
        <f t="shared" ca="1" si="7"/>
        <v>0</v>
      </c>
      <c r="V60" s="15">
        <f t="shared" ca="1" si="8"/>
        <v>0</v>
      </c>
      <c r="W60" s="15" t="str">
        <f t="shared" ca="1" si="9"/>
        <v>No_Action</v>
      </c>
      <c r="X60" s="15"/>
      <c r="Y60" s="15" t="str">
        <f t="shared" ca="1" si="10"/>
        <v>No_Action</v>
      </c>
      <c r="Z60" s="15">
        <f t="shared" ca="1" si="11"/>
        <v>0</v>
      </c>
      <c r="AA60" s="15">
        <f t="shared" ca="1" si="12"/>
        <v>0</v>
      </c>
      <c r="AB60" s="15"/>
      <c r="AC60" s="15" t="str">
        <f t="shared" ca="1" si="13"/>
        <v>NoNo</v>
      </c>
      <c r="AD60" s="15"/>
      <c r="AE60" s="15">
        <f t="shared" ca="1" si="14"/>
        <v>0</v>
      </c>
      <c r="AF60" s="16">
        <f t="shared" ca="1" si="15"/>
        <v>0</v>
      </c>
      <c r="AG60" s="16" t="str">
        <f t="shared" ca="1" si="16"/>
        <v>No_Action</v>
      </c>
      <c r="AH60" s="15"/>
      <c r="AI60" s="15" t="str">
        <f t="shared" ca="1" si="17"/>
        <v>No_Action</v>
      </c>
      <c r="AJ60" s="15">
        <f t="shared" ca="1" si="18"/>
        <v>0</v>
      </c>
      <c r="AK60" s="15">
        <f t="shared" ca="1" si="19"/>
        <v>0</v>
      </c>
    </row>
    <row r="61" spans="1:37" ht="14.5" customHeight="1" x14ac:dyDescent="0.35">
      <c r="A61" s="12" t="s">
        <v>77</v>
      </c>
      <c r="B61" s="13">
        <f ca="1">IFERROR(__xludf.DUMMYFUNCTION("GOOGLEFINANCE(""NSE:""&amp;A61,""PRICE"")"),4798)</f>
        <v>4798</v>
      </c>
      <c r="C61" s="13">
        <f ca="1">IFERROR(__xludf.DUMMYFUNCTION("GOOGLEFINANCE(""NSE:""&amp;A61,""PRICEOPEN"")"),4844.95)</f>
        <v>4844.95</v>
      </c>
      <c r="D61" s="13">
        <f ca="1">IFERROR(__xludf.DUMMYFUNCTION("GOOGLEFINANCE(""NSE:""&amp;A61,""HIGH"")"),4855.9)</f>
        <v>4855.8999999999996</v>
      </c>
      <c r="E61" s="13">
        <f ca="1">IFERROR(__xludf.DUMMYFUNCTION("GOOGLEFINANCE(""NSE:""&amp;A61,""LOW"")"),4750.05)</f>
        <v>4750.05</v>
      </c>
      <c r="F61" s="13">
        <f ca="1">IFERROR(__xludf.DUMMYFUNCTION("GOOGLEFINANCE(""NSE:""&amp;A61,""closeyest"")"),4870.85)</f>
        <v>4870.8500000000004</v>
      </c>
      <c r="G61" s="14">
        <f t="shared" ca="1" si="0"/>
        <v>-9.7853272196748269E-3</v>
      </c>
      <c r="H61" s="13">
        <f ca="1">IFERROR(__xludf.DUMMYFUNCTION("GOOGLEFINANCE(""NSE:""&amp;A61,""VOLUME"")"),467154)</f>
        <v>467154</v>
      </c>
      <c r="I61" s="13" t="str">
        <f ca="1">IFERROR(__xludf.DUMMYFUNCTION("AVERAGE(index(GOOGLEFINANCE(""NSE:""&amp;$A61, ""volume"", today()-21, today()-1), , 2))"),"#N/A")</f>
        <v>#N/A</v>
      </c>
      <c r="J61" s="14" t="e">
        <f t="shared" ca="1" si="1"/>
        <v>#VALUE!</v>
      </c>
      <c r="K61" s="13" t="str">
        <f ca="1">IFERROR(__xludf.DUMMYFUNCTION("AVERAGE(index(GOOGLEFINANCE(""NSE:""&amp;$A61, ""close"", today()-6, today()-1), , 2))"),"#N/A")</f>
        <v>#N/A</v>
      </c>
      <c r="L61" s="13" t="str">
        <f ca="1">IFERROR(__xludf.DUMMYFUNCTION("AVERAGE(index(GOOGLEFINANCE(""NSE:""&amp;$A61, ""close"", today()-14, today()-1), , 2))"),"#N/A")</f>
        <v>#N/A</v>
      </c>
      <c r="M61" s="13" t="str">
        <f ca="1">IFERROR(__xludf.DUMMYFUNCTION("AVERAGE(index(GOOGLEFINANCE(""NSE:""&amp;$A61, ""close"", today()-22, today()-1), , 2))"),"#N/A")</f>
        <v>#N/A</v>
      </c>
      <c r="N61" s="13" t="str">
        <f t="shared" ca="1" si="2"/>
        <v>No_Action</v>
      </c>
      <c r="O61" s="13" t="str">
        <f t="shared" ca="1" si="3"/>
        <v>No_Action</v>
      </c>
      <c r="P61" s="13" t="str">
        <f t="shared" ca="1" si="4"/>
        <v>No_Action</v>
      </c>
      <c r="Q61" s="13" t="str">
        <f t="shared" ca="1" si="5"/>
        <v>No_Action</v>
      </c>
      <c r="R61" s="15"/>
      <c r="S61" s="15" t="str">
        <f t="shared" ca="1" si="6"/>
        <v>NoNo</v>
      </c>
      <c r="T61" s="15"/>
      <c r="U61" s="15">
        <f t="shared" ca="1" si="7"/>
        <v>0</v>
      </c>
      <c r="V61" s="15">
        <f t="shared" ca="1" si="8"/>
        <v>0</v>
      </c>
      <c r="W61" s="15" t="str">
        <f t="shared" ca="1" si="9"/>
        <v>No_Action</v>
      </c>
      <c r="X61" s="15"/>
      <c r="Y61" s="15" t="str">
        <f t="shared" ca="1" si="10"/>
        <v>No_Action</v>
      </c>
      <c r="Z61" s="15">
        <f t="shared" ca="1" si="11"/>
        <v>0</v>
      </c>
      <c r="AA61" s="15">
        <f t="shared" ca="1" si="12"/>
        <v>0</v>
      </c>
      <c r="AB61" s="15"/>
      <c r="AC61" s="15" t="str">
        <f t="shared" ca="1" si="13"/>
        <v>NoNo</v>
      </c>
      <c r="AD61" s="15"/>
      <c r="AE61" s="15">
        <f t="shared" ca="1" si="14"/>
        <v>0</v>
      </c>
      <c r="AF61" s="16">
        <f t="shared" ca="1" si="15"/>
        <v>0</v>
      </c>
      <c r="AG61" s="16" t="str">
        <f t="shared" ca="1" si="16"/>
        <v>No_Action</v>
      </c>
      <c r="AH61" s="15"/>
      <c r="AI61" s="15" t="str">
        <f t="shared" ca="1" si="17"/>
        <v>No_Action</v>
      </c>
      <c r="AJ61" s="15">
        <f t="shared" ca="1" si="18"/>
        <v>0</v>
      </c>
      <c r="AK61" s="15">
        <f t="shared" ca="1" si="19"/>
        <v>0</v>
      </c>
    </row>
    <row r="62" spans="1:37" ht="14.5" customHeight="1" x14ac:dyDescent="0.35">
      <c r="A62" s="12" t="s">
        <v>78</v>
      </c>
      <c r="B62" s="13">
        <f ca="1">IFERROR(__xludf.DUMMYFUNCTION("GOOGLEFINANCE(""NSE:""&amp;A62,""PRICE"")"),5284)</f>
        <v>5284</v>
      </c>
      <c r="C62" s="13">
        <f ca="1">IFERROR(__xludf.DUMMYFUNCTION("GOOGLEFINANCE(""NSE:""&amp;A62,""PRICEOPEN"")"),5069.6)</f>
        <v>5069.6000000000004</v>
      </c>
      <c r="D62" s="13">
        <f ca="1">IFERROR(__xludf.DUMMYFUNCTION("GOOGLEFINANCE(""NSE:""&amp;A62,""HIGH"")"),5315)</f>
        <v>5315</v>
      </c>
      <c r="E62" s="13">
        <f ca="1">IFERROR(__xludf.DUMMYFUNCTION("GOOGLEFINANCE(""NSE:""&amp;A62,""LOW"")"),5022.05)</f>
        <v>5022.05</v>
      </c>
      <c r="F62" s="13">
        <f ca="1">IFERROR(__xludf.DUMMYFUNCTION("GOOGLEFINANCE(""NSE:""&amp;A62,""closeyest"")"),5069.6)</f>
        <v>5069.6000000000004</v>
      </c>
      <c r="G62" s="14">
        <f t="shared" ca="1" si="0"/>
        <v>4.0575321725965112E-2</v>
      </c>
      <c r="H62" s="13">
        <f ca="1">IFERROR(__xludf.DUMMYFUNCTION("GOOGLEFINANCE(""NSE:""&amp;A62,""VOLUME"")"),746803)</f>
        <v>746803</v>
      </c>
      <c r="I62" s="13" t="str">
        <f ca="1">IFERROR(__xludf.DUMMYFUNCTION("AVERAGE(index(GOOGLEFINANCE(""NSE:""&amp;$A62, ""volume"", today()-21, today()-1), , 2))"),"#N/A")</f>
        <v>#N/A</v>
      </c>
      <c r="J62" s="14" t="e">
        <f t="shared" ca="1" si="1"/>
        <v>#VALUE!</v>
      </c>
      <c r="K62" s="13" t="str">
        <f ca="1">IFERROR(__xludf.DUMMYFUNCTION("AVERAGE(index(GOOGLEFINANCE(""NSE:""&amp;$A62, ""close"", today()-6, today()-1), , 2))"),"#N/A")</f>
        <v>#N/A</v>
      </c>
      <c r="L62" s="13" t="str">
        <f ca="1">IFERROR(__xludf.DUMMYFUNCTION("AVERAGE(index(GOOGLEFINANCE(""NSE:""&amp;$A62, ""close"", today()-14, today()-1), , 2))"),"#N/A")</f>
        <v>#N/A</v>
      </c>
      <c r="M62" s="13" t="str">
        <f ca="1">IFERROR(__xludf.DUMMYFUNCTION("AVERAGE(index(GOOGLEFINANCE(""NSE:""&amp;$A62, ""close"", today()-22, today()-1), , 2))"),"#N/A")</f>
        <v>#N/A</v>
      </c>
      <c r="N62" s="13" t="str">
        <f t="shared" ca="1" si="2"/>
        <v>No_Action</v>
      </c>
      <c r="O62" s="13" t="str">
        <f t="shared" ca="1" si="3"/>
        <v>No_Action</v>
      </c>
      <c r="P62" s="13" t="str">
        <f t="shared" ca="1" si="4"/>
        <v>No_Action</v>
      </c>
      <c r="Q62" s="13" t="str">
        <f t="shared" ca="1" si="5"/>
        <v>No_Action</v>
      </c>
      <c r="R62" s="15"/>
      <c r="S62" s="15" t="str">
        <f t="shared" ca="1" si="6"/>
        <v>NoNo</v>
      </c>
      <c r="T62" s="15"/>
      <c r="U62" s="15">
        <f t="shared" ca="1" si="7"/>
        <v>0</v>
      </c>
      <c r="V62" s="15">
        <f t="shared" ca="1" si="8"/>
        <v>0</v>
      </c>
      <c r="W62" s="15" t="str">
        <f t="shared" ca="1" si="9"/>
        <v>No_Action</v>
      </c>
      <c r="X62" s="15"/>
      <c r="Y62" s="15" t="str">
        <f t="shared" ca="1" si="10"/>
        <v>No_Action</v>
      </c>
      <c r="Z62" s="15">
        <f t="shared" ca="1" si="11"/>
        <v>0</v>
      </c>
      <c r="AA62" s="15">
        <f t="shared" ca="1" si="12"/>
        <v>0</v>
      </c>
      <c r="AB62" s="15"/>
      <c r="AC62" s="15" t="str">
        <f t="shared" ca="1" si="13"/>
        <v>NoNo</v>
      </c>
      <c r="AD62" s="15"/>
      <c r="AE62" s="15">
        <f t="shared" ca="1" si="14"/>
        <v>0</v>
      </c>
      <c r="AF62" s="16">
        <f t="shared" ca="1" si="15"/>
        <v>0</v>
      </c>
      <c r="AG62" s="16" t="str">
        <f t="shared" ca="1" si="16"/>
        <v>No_Action</v>
      </c>
      <c r="AH62" s="15"/>
      <c r="AI62" s="15" t="str">
        <f t="shared" ca="1" si="17"/>
        <v>No_Action</v>
      </c>
      <c r="AJ62" s="15">
        <f t="shared" ca="1" si="18"/>
        <v>0</v>
      </c>
      <c r="AK62" s="15">
        <f t="shared" ca="1" si="19"/>
        <v>0</v>
      </c>
    </row>
    <row r="63" spans="1:37" ht="14.5" customHeight="1" x14ac:dyDescent="0.35">
      <c r="A63" s="12" t="s">
        <v>79</v>
      </c>
      <c r="B63" s="13">
        <f ca="1">IFERROR(__xludf.DUMMYFUNCTION("GOOGLEFINANCE(""NSE:""&amp;A63,""PRICE"")"),2375)</f>
        <v>2375</v>
      </c>
      <c r="C63" s="13">
        <f ca="1">IFERROR(__xludf.DUMMYFUNCTION("GOOGLEFINANCE(""NSE:""&amp;A63,""PRICEOPEN"")"),2363.2)</f>
        <v>2363.1999999999998</v>
      </c>
      <c r="D63" s="13">
        <f ca="1">IFERROR(__xludf.DUMMYFUNCTION("GOOGLEFINANCE(""NSE:""&amp;A63,""HIGH"")"),2418)</f>
        <v>2418</v>
      </c>
      <c r="E63" s="13">
        <f ca="1">IFERROR(__xludf.DUMMYFUNCTION("GOOGLEFINANCE(""NSE:""&amp;A63,""LOW"")"),2340)</f>
        <v>2340</v>
      </c>
      <c r="F63" s="13">
        <f ca="1">IFERROR(__xludf.DUMMYFUNCTION("GOOGLEFINANCE(""NSE:""&amp;A63,""closeyest"")"),2354.65)</f>
        <v>2354.65</v>
      </c>
      <c r="G63" s="14">
        <f t="shared" ca="1" si="0"/>
        <v>4.9684210526316558E-3</v>
      </c>
      <c r="H63" s="13">
        <f ca="1">IFERROR(__xludf.DUMMYFUNCTION("GOOGLEFINANCE(""NSE:""&amp;A63,""VOLUME"")"),139725)</f>
        <v>139725</v>
      </c>
      <c r="I63" s="13" t="str">
        <f ca="1">IFERROR(__xludf.DUMMYFUNCTION("AVERAGE(index(GOOGLEFINANCE(""NSE:""&amp;$A63, ""volume"", today()-21, today()-1), , 2))"),"#N/A")</f>
        <v>#N/A</v>
      </c>
      <c r="J63" s="14" t="e">
        <f t="shared" ca="1" si="1"/>
        <v>#VALUE!</v>
      </c>
      <c r="K63" s="13" t="str">
        <f ca="1">IFERROR(__xludf.DUMMYFUNCTION("AVERAGE(index(GOOGLEFINANCE(""NSE:""&amp;$A63, ""close"", today()-6, today()-1), , 2))"),"#N/A")</f>
        <v>#N/A</v>
      </c>
      <c r="L63" s="13" t="str">
        <f ca="1">IFERROR(__xludf.DUMMYFUNCTION("AVERAGE(index(GOOGLEFINANCE(""NSE:""&amp;$A63, ""close"", today()-14, today()-1), , 2))"),"#N/A")</f>
        <v>#N/A</v>
      </c>
      <c r="M63" s="13" t="str">
        <f ca="1">IFERROR(__xludf.DUMMYFUNCTION("AVERAGE(index(GOOGLEFINANCE(""NSE:""&amp;$A63, ""close"", today()-22, today()-1), , 2))"),"#N/A")</f>
        <v>#N/A</v>
      </c>
      <c r="N63" s="13" t="str">
        <f t="shared" ca="1" si="2"/>
        <v>No_Action</v>
      </c>
      <c r="O63" s="13" t="str">
        <f t="shared" ca="1" si="3"/>
        <v>No_Action</v>
      </c>
      <c r="P63" s="13" t="str">
        <f t="shared" ca="1" si="4"/>
        <v>No_Action</v>
      </c>
      <c r="Q63" s="13" t="str">
        <f t="shared" ca="1" si="5"/>
        <v>No_Action</v>
      </c>
      <c r="R63" s="15"/>
      <c r="S63" s="15" t="str">
        <f t="shared" ca="1" si="6"/>
        <v>NoNo</v>
      </c>
      <c r="T63" s="15"/>
      <c r="U63" s="15">
        <f t="shared" ca="1" si="7"/>
        <v>0</v>
      </c>
      <c r="V63" s="15">
        <f t="shared" ca="1" si="8"/>
        <v>0</v>
      </c>
      <c r="W63" s="15" t="str">
        <f t="shared" ca="1" si="9"/>
        <v>No_Action</v>
      </c>
      <c r="X63" s="15"/>
      <c r="Y63" s="15" t="str">
        <f t="shared" ca="1" si="10"/>
        <v>No_Action</v>
      </c>
      <c r="Z63" s="15">
        <f t="shared" ca="1" si="11"/>
        <v>0</v>
      </c>
      <c r="AA63" s="15">
        <f t="shared" ca="1" si="12"/>
        <v>0</v>
      </c>
      <c r="AB63" s="15"/>
      <c r="AC63" s="15" t="str">
        <f t="shared" ca="1" si="13"/>
        <v>NoNo</v>
      </c>
      <c r="AD63" s="15"/>
      <c r="AE63" s="15">
        <f t="shared" ca="1" si="14"/>
        <v>0</v>
      </c>
      <c r="AF63" s="16">
        <f t="shared" ca="1" si="15"/>
        <v>0</v>
      </c>
      <c r="AG63" s="16" t="str">
        <f t="shared" ca="1" si="16"/>
        <v>No_Action</v>
      </c>
      <c r="AH63" s="15"/>
      <c r="AI63" s="15" t="str">
        <f t="shared" ca="1" si="17"/>
        <v>No_Action</v>
      </c>
      <c r="AJ63" s="15">
        <f t="shared" ca="1" si="18"/>
        <v>0</v>
      </c>
      <c r="AK63" s="15">
        <f t="shared" ca="1" si="19"/>
        <v>0</v>
      </c>
    </row>
    <row r="64" spans="1:37" ht="14.5" customHeight="1" x14ac:dyDescent="0.35">
      <c r="A64" s="12" t="s">
        <v>80</v>
      </c>
      <c r="B64" s="13">
        <f ca="1">IFERROR(__xludf.DUMMYFUNCTION("GOOGLEFINANCE(""NSE:""&amp;A64,""PRICE"")"),1365)</f>
        <v>1365</v>
      </c>
      <c r="C64" s="13">
        <f ca="1">IFERROR(__xludf.DUMMYFUNCTION("GOOGLEFINANCE(""NSE:""&amp;A64,""PRICEOPEN"")"),1365)</f>
        <v>1365</v>
      </c>
      <c r="D64" s="13">
        <f ca="1">IFERROR(__xludf.DUMMYFUNCTION("GOOGLEFINANCE(""NSE:""&amp;A64,""HIGH"")"),1385.95)</f>
        <v>1385.95</v>
      </c>
      <c r="E64" s="13">
        <f ca="1">IFERROR(__xludf.DUMMYFUNCTION("GOOGLEFINANCE(""NSE:""&amp;A64,""LOW"")"),1357.05)</f>
        <v>1357.05</v>
      </c>
      <c r="F64" s="13">
        <f ca="1">IFERROR(__xludf.DUMMYFUNCTION("GOOGLEFINANCE(""NSE:""&amp;A64,""closeyest"")"),1363.85)</f>
        <v>1363.85</v>
      </c>
      <c r="G64" s="14">
        <f t="shared" ca="1" si="0"/>
        <v>0</v>
      </c>
      <c r="H64" s="13">
        <f ca="1">IFERROR(__xludf.DUMMYFUNCTION("GOOGLEFINANCE(""NSE:""&amp;A64,""VOLUME"")"),81468)</f>
        <v>81468</v>
      </c>
      <c r="I64" s="13" t="str">
        <f ca="1">IFERROR(__xludf.DUMMYFUNCTION("AVERAGE(index(GOOGLEFINANCE(""NSE:""&amp;$A64, ""volume"", today()-21, today()-1), , 2))"),"#N/A")</f>
        <v>#N/A</v>
      </c>
      <c r="J64" s="14" t="e">
        <f t="shared" ca="1" si="1"/>
        <v>#VALUE!</v>
      </c>
      <c r="K64" s="13" t="str">
        <f ca="1">IFERROR(__xludf.DUMMYFUNCTION("AVERAGE(index(GOOGLEFINANCE(""NSE:""&amp;$A64, ""close"", today()-6, today()-1), , 2))"),"#N/A")</f>
        <v>#N/A</v>
      </c>
      <c r="L64" s="13" t="str">
        <f ca="1">IFERROR(__xludf.DUMMYFUNCTION("AVERAGE(index(GOOGLEFINANCE(""NSE:""&amp;$A64, ""close"", today()-14, today()-1), , 2))"),"#N/A")</f>
        <v>#N/A</v>
      </c>
      <c r="M64" s="13" t="str">
        <f ca="1">IFERROR(__xludf.DUMMYFUNCTION("AVERAGE(index(GOOGLEFINANCE(""NSE:""&amp;$A64, ""close"", today()-22, today()-1), , 2))"),"#N/A")</f>
        <v>#N/A</v>
      </c>
      <c r="N64" s="13" t="str">
        <f t="shared" ca="1" si="2"/>
        <v>No_Action</v>
      </c>
      <c r="O64" s="13" t="str">
        <f t="shared" ca="1" si="3"/>
        <v>No_Action</v>
      </c>
      <c r="P64" s="13" t="str">
        <f t="shared" ca="1" si="4"/>
        <v>No_Action</v>
      </c>
      <c r="Q64" s="13" t="str">
        <f t="shared" ca="1" si="5"/>
        <v>No_Action</v>
      </c>
      <c r="R64" s="15"/>
      <c r="S64" s="15" t="str">
        <f t="shared" ca="1" si="6"/>
        <v>NoNo</v>
      </c>
      <c r="T64" s="15"/>
      <c r="U64" s="15">
        <f t="shared" ca="1" si="7"/>
        <v>0</v>
      </c>
      <c r="V64" s="15">
        <f t="shared" ca="1" si="8"/>
        <v>0</v>
      </c>
      <c r="W64" s="15" t="str">
        <f t="shared" ca="1" si="9"/>
        <v>No_Action</v>
      </c>
      <c r="X64" s="15"/>
      <c r="Y64" s="15" t="str">
        <f t="shared" ca="1" si="10"/>
        <v>No_Action</v>
      </c>
      <c r="Z64" s="15">
        <f t="shared" ca="1" si="11"/>
        <v>0</v>
      </c>
      <c r="AA64" s="15">
        <f t="shared" ca="1" si="12"/>
        <v>0</v>
      </c>
      <c r="AB64" s="15"/>
      <c r="AC64" s="15" t="str">
        <f t="shared" ca="1" si="13"/>
        <v>NoNo</v>
      </c>
      <c r="AD64" s="15"/>
      <c r="AE64" s="15">
        <f t="shared" ca="1" si="14"/>
        <v>0</v>
      </c>
      <c r="AF64" s="16">
        <f t="shared" ca="1" si="15"/>
        <v>0</v>
      </c>
      <c r="AG64" s="16" t="str">
        <f t="shared" ca="1" si="16"/>
        <v>No_Action</v>
      </c>
      <c r="AH64" s="15"/>
      <c r="AI64" s="15" t="str">
        <f t="shared" ca="1" si="17"/>
        <v>No_Action</v>
      </c>
      <c r="AJ64" s="15">
        <f t="shared" ca="1" si="18"/>
        <v>0</v>
      </c>
      <c r="AK64" s="15">
        <f t="shared" ca="1" si="19"/>
        <v>0</v>
      </c>
    </row>
    <row r="65" spans="1:37" ht="14.5" customHeight="1" x14ac:dyDescent="0.35">
      <c r="A65" s="12" t="s">
        <v>81</v>
      </c>
      <c r="B65" s="13">
        <f ca="1">IFERROR(__xludf.DUMMYFUNCTION("GOOGLEFINANCE(""NSE:""&amp;A65,""PRICE"")"),1412.05)</f>
        <v>1412.05</v>
      </c>
      <c r="C65" s="13">
        <f ca="1">IFERROR(__xludf.DUMMYFUNCTION("GOOGLEFINANCE(""NSE:""&amp;A65,""PRICEOPEN"")"),1420)</f>
        <v>1420</v>
      </c>
      <c r="D65" s="13">
        <f ca="1">IFERROR(__xludf.DUMMYFUNCTION("GOOGLEFINANCE(""NSE:""&amp;A65,""HIGH"")"),1455.85)</f>
        <v>1455.85</v>
      </c>
      <c r="E65" s="13">
        <f ca="1">IFERROR(__xludf.DUMMYFUNCTION("GOOGLEFINANCE(""NSE:""&amp;A65,""LOW"")"),1400)</f>
        <v>1400</v>
      </c>
      <c r="F65" s="13">
        <f ca="1">IFERROR(__xludf.DUMMYFUNCTION("GOOGLEFINANCE(""NSE:""&amp;A65,""closeyest"")"),1418.1)</f>
        <v>1418.1</v>
      </c>
      <c r="G65" s="14">
        <f t="shared" ca="1" si="0"/>
        <v>-5.6301122481498857E-3</v>
      </c>
      <c r="H65" s="13">
        <f ca="1">IFERROR(__xludf.DUMMYFUNCTION("GOOGLEFINANCE(""NSE:""&amp;A65,""VOLUME"")"),63977)</f>
        <v>63977</v>
      </c>
      <c r="I65" s="13" t="str">
        <f ca="1">IFERROR(__xludf.DUMMYFUNCTION("AVERAGE(index(GOOGLEFINANCE(""NSE:""&amp;$A65, ""volume"", today()-21, today()-1), , 2))"),"#N/A")</f>
        <v>#N/A</v>
      </c>
      <c r="J65" s="14" t="e">
        <f t="shared" ca="1" si="1"/>
        <v>#VALUE!</v>
      </c>
      <c r="K65" s="13" t="str">
        <f ca="1">IFERROR(__xludf.DUMMYFUNCTION("AVERAGE(index(GOOGLEFINANCE(""NSE:""&amp;$A65, ""close"", today()-6, today()-1), , 2))"),"#N/A")</f>
        <v>#N/A</v>
      </c>
      <c r="L65" s="13" t="str">
        <f ca="1">IFERROR(__xludf.DUMMYFUNCTION("AVERAGE(index(GOOGLEFINANCE(""NSE:""&amp;$A65, ""close"", today()-14, today()-1), , 2))"),"#N/A")</f>
        <v>#N/A</v>
      </c>
      <c r="M65" s="13" t="str">
        <f ca="1">IFERROR(__xludf.DUMMYFUNCTION("AVERAGE(index(GOOGLEFINANCE(""NSE:""&amp;$A65, ""close"", today()-22, today()-1), , 2))"),"#N/A")</f>
        <v>#N/A</v>
      </c>
      <c r="N65" s="13" t="str">
        <f t="shared" ca="1" si="2"/>
        <v>No_Action</v>
      </c>
      <c r="O65" s="13" t="str">
        <f t="shared" ca="1" si="3"/>
        <v>No_Action</v>
      </c>
      <c r="P65" s="13" t="str">
        <f t="shared" ca="1" si="4"/>
        <v>No_Action</v>
      </c>
      <c r="Q65" s="13" t="str">
        <f t="shared" ca="1" si="5"/>
        <v>No_Action</v>
      </c>
      <c r="R65" s="15"/>
      <c r="S65" s="15" t="str">
        <f t="shared" ca="1" si="6"/>
        <v>NoNo</v>
      </c>
      <c r="T65" s="15"/>
      <c r="U65" s="15">
        <f t="shared" ca="1" si="7"/>
        <v>0</v>
      </c>
      <c r="V65" s="15">
        <f t="shared" ca="1" si="8"/>
        <v>0</v>
      </c>
      <c r="W65" s="15" t="str">
        <f t="shared" ca="1" si="9"/>
        <v>No_Action</v>
      </c>
      <c r="X65" s="15"/>
      <c r="Y65" s="15" t="str">
        <f t="shared" ca="1" si="10"/>
        <v>No_Action</v>
      </c>
      <c r="Z65" s="15">
        <f t="shared" ca="1" si="11"/>
        <v>0</v>
      </c>
      <c r="AA65" s="15">
        <f t="shared" ca="1" si="12"/>
        <v>0</v>
      </c>
      <c r="AB65" s="15"/>
      <c r="AC65" s="15" t="str">
        <f t="shared" ca="1" si="13"/>
        <v>NoNo</v>
      </c>
      <c r="AD65" s="15"/>
      <c r="AE65" s="15">
        <f t="shared" ca="1" si="14"/>
        <v>0</v>
      </c>
      <c r="AF65" s="16">
        <f t="shared" ca="1" si="15"/>
        <v>0</v>
      </c>
      <c r="AG65" s="16" t="str">
        <f t="shared" ca="1" si="16"/>
        <v>No_Action</v>
      </c>
      <c r="AH65" s="15"/>
      <c r="AI65" s="15" t="str">
        <f t="shared" ca="1" si="17"/>
        <v>No_Action</v>
      </c>
      <c r="AJ65" s="15">
        <f t="shared" ca="1" si="18"/>
        <v>0</v>
      </c>
      <c r="AK65" s="15">
        <f t="shared" ca="1" si="19"/>
        <v>0</v>
      </c>
    </row>
    <row r="66" spans="1:37" ht="14.5" customHeight="1" x14ac:dyDescent="0.35">
      <c r="A66" s="12" t="s">
        <v>82</v>
      </c>
      <c r="B66" s="13">
        <f ca="1">IFERROR(__xludf.DUMMYFUNCTION("GOOGLEFINANCE(""NSE:""&amp;A66,""PRICE"")"),767.15)</f>
        <v>767.15</v>
      </c>
      <c r="C66" s="13">
        <f ca="1">IFERROR(__xludf.DUMMYFUNCTION("GOOGLEFINANCE(""NSE:""&amp;A66,""PRICEOPEN"")"),768.95)</f>
        <v>768.95</v>
      </c>
      <c r="D66" s="13">
        <f ca="1">IFERROR(__xludf.DUMMYFUNCTION("GOOGLEFINANCE(""NSE:""&amp;A66,""HIGH"")"),776.95)</f>
        <v>776.95</v>
      </c>
      <c r="E66" s="13">
        <f ca="1">IFERROR(__xludf.DUMMYFUNCTION("GOOGLEFINANCE(""NSE:""&amp;A66,""LOW"")"),761)</f>
        <v>761</v>
      </c>
      <c r="F66" s="13">
        <f ca="1">IFERROR(__xludf.DUMMYFUNCTION("GOOGLEFINANCE(""NSE:""&amp;A66,""closeyest"")"),768.95)</f>
        <v>768.95</v>
      </c>
      <c r="G66" s="14">
        <f t="shared" ref="G66:G129" ca="1" si="20">(B66-C66)/B66</f>
        <v>-2.3463468682787827E-3</v>
      </c>
      <c r="H66" s="13">
        <f ca="1">IFERROR(__xludf.DUMMYFUNCTION("GOOGLEFINANCE(""NSE:""&amp;A66,""VOLUME"")"),42221)</f>
        <v>42221</v>
      </c>
      <c r="I66" s="13" t="str">
        <f ca="1">IFERROR(__xludf.DUMMYFUNCTION("AVERAGE(index(GOOGLEFINANCE(""NSE:""&amp;$A66, ""volume"", today()-21, today()-1), , 2))"),"#N/A")</f>
        <v>#N/A</v>
      </c>
      <c r="J66" s="14" t="e">
        <f t="shared" ref="J66:J129" ca="1" si="21">(H66-I66)/I66</f>
        <v>#VALUE!</v>
      </c>
      <c r="K66" s="13" t="str">
        <f ca="1">IFERROR(__xludf.DUMMYFUNCTION("AVERAGE(index(GOOGLEFINANCE(""NSE:""&amp;$A66, ""close"", today()-6, today()-1), , 2))"),"#N/A")</f>
        <v>#N/A</v>
      </c>
      <c r="L66" s="13" t="str">
        <f ca="1">IFERROR(__xludf.DUMMYFUNCTION("AVERAGE(index(GOOGLEFINANCE(""NSE:""&amp;$A66, ""close"", today()-14, today()-1), , 2))"),"#N/A")</f>
        <v>#N/A</v>
      </c>
      <c r="M66" s="13" t="str">
        <f ca="1">IFERROR(__xludf.DUMMYFUNCTION("AVERAGE(index(GOOGLEFINANCE(""NSE:""&amp;$A66, ""close"", today()-22, today()-1), , 2))"),"#N/A")</f>
        <v>#N/A</v>
      </c>
      <c r="N66" s="13" t="str">
        <f t="shared" ref="N66:N129" ca="1" si="22">AG66</f>
        <v>No_Action</v>
      </c>
      <c r="O66" s="13" t="str">
        <f t="shared" ref="O66:O129" ca="1" si="23">AI66</f>
        <v>No_Action</v>
      </c>
      <c r="P66" s="13" t="str">
        <f t="shared" ref="P66:P129" ca="1" si="24">W66</f>
        <v>No_Action</v>
      </c>
      <c r="Q66" s="13" t="str">
        <f t="shared" ref="Q66:Q129" ca="1" si="25">Y66</f>
        <v>No_Action</v>
      </c>
      <c r="R66" s="15"/>
      <c r="S66" s="15" t="str">
        <f t="shared" ref="S66:S129" ca="1" si="26">LEFT(W66,2)&amp;LEFT(Y66,2)</f>
        <v>NoNo</v>
      </c>
      <c r="T66" s="15"/>
      <c r="U66" s="15">
        <f t="shared" ref="U66:U129" ca="1" si="27">IF(K66&lt;L66,1,0)</f>
        <v>0</v>
      </c>
      <c r="V66" s="15">
        <f t="shared" ref="V66:V129" ca="1" si="28">IF(H66&gt;I66,1,0)</f>
        <v>0</v>
      </c>
      <c r="W66" s="15" t="str">
        <f t="shared" ref="W66:W129" ca="1" si="29">IF(SUM(U66:V66)=2,"Anticipatory_Sell","No_Action")</f>
        <v>No_Action</v>
      </c>
      <c r="X66" s="15"/>
      <c r="Y66" s="15" t="str">
        <f t="shared" ref="Y66:Y129" ca="1" si="30">IF(SUM(Z66:AA66)=2,"Confirm_Sell","No_Action")</f>
        <v>No_Action</v>
      </c>
      <c r="Z66" s="15">
        <f t="shared" ref="Z66:Z129" ca="1" si="31">IF(H66&gt;I66,1,0)</f>
        <v>0</v>
      </c>
      <c r="AA66" s="15">
        <f t="shared" ref="AA66:AA129" ca="1" si="32">IF(K66&lt;M66,1,0)</f>
        <v>0</v>
      </c>
      <c r="AB66" s="15"/>
      <c r="AC66" s="15" t="str">
        <f t="shared" ref="AC66:AC129" ca="1" si="33">LEFT(AG66,2)&amp;LEFT(AI66,2)</f>
        <v>NoNo</v>
      </c>
      <c r="AD66" s="15"/>
      <c r="AE66" s="15">
        <f t="shared" ref="AE66:AE129" ca="1" si="34">IF(K66&gt;L66,1,0)</f>
        <v>0</v>
      </c>
      <c r="AF66" s="16">
        <f t="shared" ref="AF66:AF129" ca="1" si="35">IF(H66&gt;I66,1,0)</f>
        <v>0</v>
      </c>
      <c r="AG66" s="16" t="str">
        <f t="shared" ref="AG66:AG129" ca="1" si="36">IF(SUM(AE66:AF66)=2,"Anticipatory_Buy","No_Action")</f>
        <v>No_Action</v>
      </c>
      <c r="AH66" s="15"/>
      <c r="AI66" s="15" t="str">
        <f t="shared" ref="AI66:AI129" ca="1" si="37">IF(SUM(AJ66:AK66)=2,"Confirm_Buy","No_Action")</f>
        <v>No_Action</v>
      </c>
      <c r="AJ66" s="15">
        <f t="shared" ref="AJ66:AJ129" ca="1" si="38">IF(H66&gt;I66,1,0)</f>
        <v>0</v>
      </c>
      <c r="AK66" s="15">
        <f t="shared" ref="AK66:AK129" ca="1" si="39">IF(K66&gt;M66,1,0)</f>
        <v>0</v>
      </c>
    </row>
    <row r="67" spans="1:37" ht="14.5" customHeight="1" x14ac:dyDescent="0.35">
      <c r="A67" s="12" t="s">
        <v>83</v>
      </c>
      <c r="B67" s="13">
        <f ca="1">IFERROR(__xludf.DUMMYFUNCTION("GOOGLEFINANCE(""NSE:""&amp;A67,""PRICE"")"),790)</f>
        <v>790</v>
      </c>
      <c r="C67" s="13">
        <f ca="1">IFERROR(__xludf.DUMMYFUNCTION("GOOGLEFINANCE(""NSE:""&amp;A67,""PRICEOPEN"")"),790.65)</f>
        <v>790.65</v>
      </c>
      <c r="D67" s="13">
        <f ca="1">IFERROR(__xludf.DUMMYFUNCTION("GOOGLEFINANCE(""NSE:""&amp;A67,""HIGH"")"),796)</f>
        <v>796</v>
      </c>
      <c r="E67" s="13">
        <f ca="1">IFERROR(__xludf.DUMMYFUNCTION("GOOGLEFINANCE(""NSE:""&amp;A67,""LOW"")"),772)</f>
        <v>772</v>
      </c>
      <c r="F67" s="13">
        <f ca="1">IFERROR(__xludf.DUMMYFUNCTION("GOOGLEFINANCE(""NSE:""&amp;A67,""closeyest"")"),789.25)</f>
        <v>789.25</v>
      </c>
      <c r="G67" s="14">
        <f t="shared" ca="1" si="20"/>
        <v>-8.2278481012655353E-4</v>
      </c>
      <c r="H67" s="13">
        <f ca="1">IFERROR(__xludf.DUMMYFUNCTION("GOOGLEFINANCE(""NSE:""&amp;A67,""VOLUME"")"),146107)</f>
        <v>146107</v>
      </c>
      <c r="I67" s="13" t="str">
        <f ca="1">IFERROR(__xludf.DUMMYFUNCTION("AVERAGE(index(GOOGLEFINANCE(""NSE:""&amp;$A67, ""volume"", today()-21, today()-1), , 2))"),"#N/A")</f>
        <v>#N/A</v>
      </c>
      <c r="J67" s="14" t="e">
        <f t="shared" ca="1" si="21"/>
        <v>#VALUE!</v>
      </c>
      <c r="K67" s="13" t="str">
        <f ca="1">IFERROR(__xludf.DUMMYFUNCTION("AVERAGE(index(GOOGLEFINANCE(""NSE:""&amp;$A67, ""close"", today()-6, today()-1), , 2))"),"#N/A")</f>
        <v>#N/A</v>
      </c>
      <c r="L67" s="13" t="str">
        <f ca="1">IFERROR(__xludf.DUMMYFUNCTION("AVERAGE(index(GOOGLEFINANCE(""NSE:""&amp;$A67, ""close"", today()-14, today()-1), , 2))"),"#N/A")</f>
        <v>#N/A</v>
      </c>
      <c r="M67" s="13" t="str">
        <f ca="1">IFERROR(__xludf.DUMMYFUNCTION("AVERAGE(index(GOOGLEFINANCE(""NSE:""&amp;$A67, ""close"", today()-22, today()-1), , 2))"),"#N/A")</f>
        <v>#N/A</v>
      </c>
      <c r="N67" s="13" t="str">
        <f t="shared" ca="1" si="22"/>
        <v>No_Action</v>
      </c>
      <c r="O67" s="13" t="str">
        <f t="shared" ca="1" si="23"/>
        <v>No_Action</v>
      </c>
      <c r="P67" s="13" t="str">
        <f t="shared" ca="1" si="24"/>
        <v>No_Action</v>
      </c>
      <c r="Q67" s="13" t="str">
        <f t="shared" ca="1" si="25"/>
        <v>No_Action</v>
      </c>
      <c r="R67" s="15"/>
      <c r="S67" s="15" t="str">
        <f t="shared" ca="1" si="26"/>
        <v>NoNo</v>
      </c>
      <c r="T67" s="15"/>
      <c r="U67" s="15">
        <f t="shared" ca="1" si="27"/>
        <v>0</v>
      </c>
      <c r="V67" s="15">
        <f t="shared" ca="1" si="28"/>
        <v>0</v>
      </c>
      <c r="W67" s="15" t="str">
        <f t="shared" ca="1" si="29"/>
        <v>No_Action</v>
      </c>
      <c r="X67" s="15"/>
      <c r="Y67" s="15" t="str">
        <f t="shared" ca="1" si="30"/>
        <v>No_Action</v>
      </c>
      <c r="Z67" s="15">
        <f t="shared" ca="1" si="31"/>
        <v>0</v>
      </c>
      <c r="AA67" s="15">
        <f t="shared" ca="1" si="32"/>
        <v>0</v>
      </c>
      <c r="AB67" s="15"/>
      <c r="AC67" s="15" t="str">
        <f t="shared" ca="1" si="33"/>
        <v>NoNo</v>
      </c>
      <c r="AD67" s="15"/>
      <c r="AE67" s="15">
        <f t="shared" ca="1" si="34"/>
        <v>0</v>
      </c>
      <c r="AF67" s="16">
        <f t="shared" ca="1" si="35"/>
        <v>0</v>
      </c>
      <c r="AG67" s="16" t="str">
        <f t="shared" ca="1" si="36"/>
        <v>No_Action</v>
      </c>
      <c r="AH67" s="15"/>
      <c r="AI67" s="15" t="str">
        <f t="shared" ca="1" si="37"/>
        <v>No_Action</v>
      </c>
      <c r="AJ67" s="15">
        <f t="shared" ca="1" si="38"/>
        <v>0</v>
      </c>
      <c r="AK67" s="15">
        <f t="shared" ca="1" si="39"/>
        <v>0</v>
      </c>
    </row>
    <row r="68" spans="1:37" ht="14.5" customHeight="1" x14ac:dyDescent="0.35">
      <c r="A68" s="12" t="s">
        <v>84</v>
      </c>
      <c r="B68" s="13">
        <f ca="1">IFERROR(__xludf.DUMMYFUNCTION("GOOGLEFINANCE(""NSE:""&amp;A68,""PRICE"")"),3329)</f>
        <v>3329</v>
      </c>
      <c r="C68" s="13">
        <f ca="1">IFERROR(__xludf.DUMMYFUNCTION("GOOGLEFINANCE(""NSE:""&amp;A68,""PRICEOPEN"")"),3270)</f>
        <v>3270</v>
      </c>
      <c r="D68" s="13">
        <f ca="1">IFERROR(__xludf.DUMMYFUNCTION("GOOGLEFINANCE(""NSE:""&amp;A68,""HIGH"")"),3578.8)</f>
        <v>3578.8</v>
      </c>
      <c r="E68" s="13">
        <f ca="1">IFERROR(__xludf.DUMMYFUNCTION("GOOGLEFINANCE(""NSE:""&amp;A68,""LOW"")"),3231.95)</f>
        <v>3231.95</v>
      </c>
      <c r="F68" s="13">
        <f ca="1">IFERROR(__xludf.DUMMYFUNCTION("GOOGLEFINANCE(""NSE:""&amp;A68,""closeyest"")"),3095.7)</f>
        <v>3095.7</v>
      </c>
      <c r="G68" s="14">
        <f t="shared" ca="1" si="20"/>
        <v>1.7723039951937518E-2</v>
      </c>
      <c r="H68" s="13">
        <f ca="1">IFERROR(__xludf.DUMMYFUNCTION("GOOGLEFINANCE(""NSE:""&amp;A68,""VOLUME"")"),5554507)</f>
        <v>5554507</v>
      </c>
      <c r="I68" s="13" t="str">
        <f ca="1">IFERROR(__xludf.DUMMYFUNCTION("AVERAGE(index(GOOGLEFINANCE(""NSE:""&amp;$A68, ""volume"", today()-21, today()-1), , 2))"),"#N/A")</f>
        <v>#N/A</v>
      </c>
      <c r="J68" s="14" t="e">
        <f t="shared" ca="1" si="21"/>
        <v>#VALUE!</v>
      </c>
      <c r="K68" s="13" t="str">
        <f ca="1">IFERROR(__xludf.DUMMYFUNCTION("AVERAGE(index(GOOGLEFINANCE(""NSE:""&amp;$A68, ""close"", today()-6, today()-1), , 2))"),"#N/A")</f>
        <v>#N/A</v>
      </c>
      <c r="L68" s="13" t="str">
        <f ca="1">IFERROR(__xludf.DUMMYFUNCTION("AVERAGE(index(GOOGLEFINANCE(""NSE:""&amp;$A68, ""close"", today()-14, today()-1), , 2))"),"#N/A")</f>
        <v>#N/A</v>
      </c>
      <c r="M68" s="13" t="str">
        <f ca="1">IFERROR(__xludf.DUMMYFUNCTION("AVERAGE(index(GOOGLEFINANCE(""NSE:""&amp;$A68, ""close"", today()-22, today()-1), , 2))"),"#N/A")</f>
        <v>#N/A</v>
      </c>
      <c r="N68" s="13" t="str">
        <f t="shared" ca="1" si="22"/>
        <v>No_Action</v>
      </c>
      <c r="O68" s="13" t="str">
        <f t="shared" ca="1" si="23"/>
        <v>No_Action</v>
      </c>
      <c r="P68" s="13" t="str">
        <f t="shared" ca="1" si="24"/>
        <v>No_Action</v>
      </c>
      <c r="Q68" s="13" t="str">
        <f t="shared" ca="1" si="25"/>
        <v>No_Action</v>
      </c>
      <c r="R68" s="15"/>
      <c r="S68" s="15" t="str">
        <f t="shared" ca="1" si="26"/>
        <v>NoNo</v>
      </c>
      <c r="T68" s="15"/>
      <c r="U68" s="15">
        <f t="shared" ca="1" si="27"/>
        <v>0</v>
      </c>
      <c r="V68" s="15">
        <f t="shared" ca="1" si="28"/>
        <v>0</v>
      </c>
      <c r="W68" s="15" t="str">
        <f t="shared" ca="1" si="29"/>
        <v>No_Action</v>
      </c>
      <c r="X68" s="15"/>
      <c r="Y68" s="15" t="str">
        <f t="shared" ca="1" si="30"/>
        <v>No_Action</v>
      </c>
      <c r="Z68" s="15">
        <f t="shared" ca="1" si="31"/>
        <v>0</v>
      </c>
      <c r="AA68" s="15">
        <f t="shared" ca="1" si="32"/>
        <v>0</v>
      </c>
      <c r="AB68" s="15"/>
      <c r="AC68" s="15" t="str">
        <f t="shared" ca="1" si="33"/>
        <v>NoNo</v>
      </c>
      <c r="AD68" s="15"/>
      <c r="AE68" s="15">
        <f t="shared" ca="1" si="34"/>
        <v>0</v>
      </c>
      <c r="AF68" s="16">
        <f t="shared" ca="1" si="35"/>
        <v>0</v>
      </c>
      <c r="AG68" s="16" t="str">
        <f t="shared" ca="1" si="36"/>
        <v>No_Action</v>
      </c>
      <c r="AH68" s="15"/>
      <c r="AI68" s="15" t="str">
        <f t="shared" ca="1" si="37"/>
        <v>No_Action</v>
      </c>
      <c r="AJ68" s="15">
        <f t="shared" ca="1" si="38"/>
        <v>0</v>
      </c>
      <c r="AK68" s="15">
        <f t="shared" ca="1" si="39"/>
        <v>0</v>
      </c>
    </row>
    <row r="69" spans="1:37" ht="14.5" customHeight="1" x14ac:dyDescent="0.35">
      <c r="A69" s="12" t="s">
        <v>85</v>
      </c>
      <c r="B69" s="13">
        <f ca="1">IFERROR(__xludf.DUMMYFUNCTION("GOOGLEFINANCE(""NSE:""&amp;A69,""PRICE"")"),786.4)</f>
        <v>786.4</v>
      </c>
      <c r="C69" s="13">
        <f ca="1">IFERROR(__xludf.DUMMYFUNCTION("GOOGLEFINANCE(""NSE:""&amp;A69,""PRICEOPEN"")"),787.95)</f>
        <v>787.95</v>
      </c>
      <c r="D69" s="13">
        <f ca="1">IFERROR(__xludf.DUMMYFUNCTION("GOOGLEFINANCE(""NSE:""&amp;A69,""HIGH"")"),789.6)</f>
        <v>789.6</v>
      </c>
      <c r="E69" s="13">
        <f ca="1">IFERROR(__xludf.DUMMYFUNCTION("GOOGLEFINANCE(""NSE:""&amp;A69,""LOW"")"),774)</f>
        <v>774</v>
      </c>
      <c r="F69" s="13">
        <f ca="1">IFERROR(__xludf.DUMMYFUNCTION("GOOGLEFINANCE(""NSE:""&amp;A69,""closeyest"")"),787.9)</f>
        <v>787.9</v>
      </c>
      <c r="G69" s="14">
        <f t="shared" ca="1" si="20"/>
        <v>-1.9710071210580727E-3</v>
      </c>
      <c r="H69" s="13">
        <f ca="1">IFERROR(__xludf.DUMMYFUNCTION("GOOGLEFINANCE(""NSE:""&amp;A69,""VOLUME"")"),81992)</f>
        <v>81992</v>
      </c>
      <c r="I69" s="13" t="str">
        <f ca="1">IFERROR(__xludf.DUMMYFUNCTION("AVERAGE(index(GOOGLEFINANCE(""NSE:""&amp;$A69, ""volume"", today()-21, today()-1), , 2))"),"#N/A")</f>
        <v>#N/A</v>
      </c>
      <c r="J69" s="14" t="e">
        <f t="shared" ca="1" si="21"/>
        <v>#VALUE!</v>
      </c>
      <c r="K69" s="13" t="str">
        <f ca="1">IFERROR(__xludf.DUMMYFUNCTION("AVERAGE(index(GOOGLEFINANCE(""NSE:""&amp;$A69, ""close"", today()-6, today()-1), , 2))"),"#N/A")</f>
        <v>#N/A</v>
      </c>
      <c r="L69" s="13" t="str">
        <f ca="1">IFERROR(__xludf.DUMMYFUNCTION("AVERAGE(index(GOOGLEFINANCE(""NSE:""&amp;$A69, ""close"", today()-14, today()-1), , 2))"),"#N/A")</f>
        <v>#N/A</v>
      </c>
      <c r="M69" s="13" t="str">
        <f ca="1">IFERROR(__xludf.DUMMYFUNCTION("AVERAGE(index(GOOGLEFINANCE(""NSE:""&amp;$A69, ""close"", today()-22, today()-1), , 2))"),"#N/A")</f>
        <v>#N/A</v>
      </c>
      <c r="N69" s="13" t="str">
        <f t="shared" ca="1" si="22"/>
        <v>No_Action</v>
      </c>
      <c r="O69" s="13" t="str">
        <f t="shared" ca="1" si="23"/>
        <v>No_Action</v>
      </c>
      <c r="P69" s="13" t="str">
        <f t="shared" ca="1" si="24"/>
        <v>No_Action</v>
      </c>
      <c r="Q69" s="13" t="str">
        <f t="shared" ca="1" si="25"/>
        <v>No_Action</v>
      </c>
      <c r="R69" s="15"/>
      <c r="S69" s="15" t="str">
        <f t="shared" ca="1" si="26"/>
        <v>NoNo</v>
      </c>
      <c r="T69" s="15"/>
      <c r="U69" s="15">
        <f t="shared" ca="1" si="27"/>
        <v>0</v>
      </c>
      <c r="V69" s="15">
        <f t="shared" ca="1" si="28"/>
        <v>0</v>
      </c>
      <c r="W69" s="15" t="str">
        <f t="shared" ca="1" si="29"/>
        <v>No_Action</v>
      </c>
      <c r="X69" s="15"/>
      <c r="Y69" s="15" t="str">
        <f t="shared" ca="1" si="30"/>
        <v>No_Action</v>
      </c>
      <c r="Z69" s="15">
        <f t="shared" ca="1" si="31"/>
        <v>0</v>
      </c>
      <c r="AA69" s="15">
        <f t="shared" ca="1" si="32"/>
        <v>0</v>
      </c>
      <c r="AB69" s="15"/>
      <c r="AC69" s="15" t="str">
        <f t="shared" ca="1" si="33"/>
        <v>NoNo</v>
      </c>
      <c r="AD69" s="15"/>
      <c r="AE69" s="15">
        <f t="shared" ca="1" si="34"/>
        <v>0</v>
      </c>
      <c r="AF69" s="16">
        <f t="shared" ca="1" si="35"/>
        <v>0</v>
      </c>
      <c r="AG69" s="16" t="str">
        <f t="shared" ca="1" si="36"/>
        <v>No_Action</v>
      </c>
      <c r="AH69" s="15"/>
      <c r="AI69" s="15" t="str">
        <f t="shared" ca="1" si="37"/>
        <v>No_Action</v>
      </c>
      <c r="AJ69" s="15">
        <f t="shared" ca="1" si="38"/>
        <v>0</v>
      </c>
      <c r="AK69" s="15">
        <f t="shared" ca="1" si="39"/>
        <v>0</v>
      </c>
    </row>
    <row r="70" spans="1:37" ht="14.5" customHeight="1" x14ac:dyDescent="0.35">
      <c r="A70" s="12" t="s">
        <v>86</v>
      </c>
      <c r="B70" s="13">
        <f ca="1">IFERROR(__xludf.DUMMYFUNCTION("GOOGLEFINANCE(""NSE:""&amp;A70,""PRICE"")"),7795.25)</f>
        <v>7795.25</v>
      </c>
      <c r="C70" s="13">
        <f ca="1">IFERROR(__xludf.DUMMYFUNCTION("GOOGLEFINANCE(""NSE:""&amp;A70,""PRICEOPEN"")"),7888.8)</f>
        <v>7888.8</v>
      </c>
      <c r="D70" s="13">
        <f ca="1">IFERROR(__xludf.DUMMYFUNCTION("GOOGLEFINANCE(""NSE:""&amp;A70,""HIGH"")"),7888.8)</f>
        <v>7888.8</v>
      </c>
      <c r="E70" s="13">
        <f ca="1">IFERROR(__xludf.DUMMYFUNCTION("GOOGLEFINANCE(""NSE:""&amp;A70,""LOW"")"),7766.3)</f>
        <v>7766.3</v>
      </c>
      <c r="F70" s="13">
        <f ca="1">IFERROR(__xludf.DUMMYFUNCTION("GOOGLEFINANCE(""NSE:""&amp;A70,""closeyest"")"),7868.8)</f>
        <v>7868.8</v>
      </c>
      <c r="G70" s="14">
        <f t="shared" ca="1" si="20"/>
        <v>-1.2000897982745926E-2</v>
      </c>
      <c r="H70" s="13">
        <f ca="1">IFERROR(__xludf.DUMMYFUNCTION("GOOGLEFINANCE(""NSE:""&amp;A70,""VOLUME"")"),9082)</f>
        <v>9082</v>
      </c>
      <c r="I70" s="13" t="str">
        <f ca="1">IFERROR(__xludf.DUMMYFUNCTION("AVERAGE(index(GOOGLEFINANCE(""NSE:""&amp;$A70, ""volume"", today()-21, today()-1), , 2))"),"#N/A")</f>
        <v>#N/A</v>
      </c>
      <c r="J70" s="14" t="e">
        <f t="shared" ca="1" si="21"/>
        <v>#VALUE!</v>
      </c>
      <c r="K70" s="13" t="str">
        <f ca="1">IFERROR(__xludf.DUMMYFUNCTION("AVERAGE(index(GOOGLEFINANCE(""NSE:""&amp;$A70, ""close"", today()-6, today()-1), , 2))"),"#N/A")</f>
        <v>#N/A</v>
      </c>
      <c r="L70" s="13" t="str">
        <f ca="1">IFERROR(__xludf.DUMMYFUNCTION("AVERAGE(index(GOOGLEFINANCE(""NSE:""&amp;$A70, ""close"", today()-14, today()-1), , 2))"),"#N/A")</f>
        <v>#N/A</v>
      </c>
      <c r="M70" s="13" t="str">
        <f ca="1">IFERROR(__xludf.DUMMYFUNCTION("AVERAGE(index(GOOGLEFINANCE(""NSE:""&amp;$A70, ""close"", today()-22, today()-1), , 2))"),"#N/A")</f>
        <v>#N/A</v>
      </c>
      <c r="N70" s="13" t="str">
        <f t="shared" ca="1" si="22"/>
        <v>No_Action</v>
      </c>
      <c r="O70" s="13" t="str">
        <f t="shared" ca="1" si="23"/>
        <v>No_Action</v>
      </c>
      <c r="P70" s="13" t="str">
        <f t="shared" ca="1" si="24"/>
        <v>No_Action</v>
      </c>
      <c r="Q70" s="13" t="str">
        <f t="shared" ca="1" si="25"/>
        <v>No_Action</v>
      </c>
      <c r="R70" s="15"/>
      <c r="S70" s="15" t="str">
        <f t="shared" ca="1" si="26"/>
        <v>NoNo</v>
      </c>
      <c r="T70" s="15"/>
      <c r="U70" s="15">
        <f t="shared" ca="1" si="27"/>
        <v>0</v>
      </c>
      <c r="V70" s="15">
        <f t="shared" ca="1" si="28"/>
        <v>0</v>
      </c>
      <c r="W70" s="15" t="str">
        <f t="shared" ca="1" si="29"/>
        <v>No_Action</v>
      </c>
      <c r="X70" s="15"/>
      <c r="Y70" s="15" t="str">
        <f t="shared" ca="1" si="30"/>
        <v>No_Action</v>
      </c>
      <c r="Z70" s="15">
        <f t="shared" ca="1" si="31"/>
        <v>0</v>
      </c>
      <c r="AA70" s="15">
        <f t="shared" ca="1" si="32"/>
        <v>0</v>
      </c>
      <c r="AB70" s="15"/>
      <c r="AC70" s="15" t="str">
        <f t="shared" ca="1" si="33"/>
        <v>NoNo</v>
      </c>
      <c r="AD70" s="15"/>
      <c r="AE70" s="15">
        <f t="shared" ca="1" si="34"/>
        <v>0</v>
      </c>
      <c r="AF70" s="16">
        <f t="shared" ca="1" si="35"/>
        <v>0</v>
      </c>
      <c r="AG70" s="16" t="str">
        <f t="shared" ca="1" si="36"/>
        <v>No_Action</v>
      </c>
      <c r="AH70" s="15"/>
      <c r="AI70" s="15" t="str">
        <f t="shared" ca="1" si="37"/>
        <v>No_Action</v>
      </c>
      <c r="AJ70" s="15">
        <f t="shared" ca="1" si="38"/>
        <v>0</v>
      </c>
      <c r="AK70" s="15">
        <f t="shared" ca="1" si="39"/>
        <v>0</v>
      </c>
    </row>
    <row r="71" spans="1:37" ht="14.5" customHeight="1" x14ac:dyDescent="0.35">
      <c r="A71" s="12" t="s">
        <v>87</v>
      </c>
      <c r="B71" s="13">
        <f ca="1">IFERROR(__xludf.DUMMYFUNCTION("GOOGLEFINANCE(""NSE:""&amp;A71,""PRICE"")"),527)</f>
        <v>527</v>
      </c>
      <c r="C71" s="13">
        <f ca="1">IFERROR(__xludf.DUMMYFUNCTION("GOOGLEFINANCE(""NSE:""&amp;A71,""PRICEOPEN"")"),542.45)</f>
        <v>542.45000000000005</v>
      </c>
      <c r="D71" s="13">
        <f ca="1">IFERROR(__xludf.DUMMYFUNCTION("GOOGLEFINANCE(""NSE:""&amp;A71,""HIGH"")"),546.2)</f>
        <v>546.20000000000005</v>
      </c>
      <c r="E71" s="13">
        <f ca="1">IFERROR(__xludf.DUMMYFUNCTION("GOOGLEFINANCE(""NSE:""&amp;A71,""LOW"")"),517.25)</f>
        <v>517.25</v>
      </c>
      <c r="F71" s="13">
        <f ca="1">IFERROR(__xludf.DUMMYFUNCTION("GOOGLEFINANCE(""NSE:""&amp;A71,""closeyest"")"),542.65)</f>
        <v>542.65</v>
      </c>
      <c r="G71" s="14">
        <f t="shared" ca="1" si="20"/>
        <v>-2.9316888045540883E-2</v>
      </c>
      <c r="H71" s="13">
        <f ca="1">IFERROR(__xludf.DUMMYFUNCTION("GOOGLEFINANCE(""NSE:""&amp;A71,""VOLUME"")"),1830719)</f>
        <v>1830719</v>
      </c>
      <c r="I71" s="13" t="str">
        <f ca="1">IFERROR(__xludf.DUMMYFUNCTION("AVERAGE(index(GOOGLEFINANCE(""NSE:""&amp;$A71, ""volume"", today()-21, today()-1), , 2))"),"#N/A")</f>
        <v>#N/A</v>
      </c>
      <c r="J71" s="14" t="e">
        <f t="shared" ca="1" si="21"/>
        <v>#VALUE!</v>
      </c>
      <c r="K71" s="13" t="str">
        <f ca="1">IFERROR(__xludf.DUMMYFUNCTION("AVERAGE(index(GOOGLEFINANCE(""NSE:""&amp;$A71, ""close"", today()-6, today()-1), , 2))"),"#N/A")</f>
        <v>#N/A</v>
      </c>
      <c r="L71" s="13" t="str">
        <f ca="1">IFERROR(__xludf.DUMMYFUNCTION("AVERAGE(index(GOOGLEFINANCE(""NSE:""&amp;$A71, ""close"", today()-14, today()-1), , 2))"),"#N/A")</f>
        <v>#N/A</v>
      </c>
      <c r="M71" s="13" t="str">
        <f ca="1">IFERROR(__xludf.DUMMYFUNCTION("AVERAGE(index(GOOGLEFINANCE(""NSE:""&amp;$A71, ""close"", today()-22, today()-1), , 2))"),"#N/A")</f>
        <v>#N/A</v>
      </c>
      <c r="N71" s="13" t="str">
        <f t="shared" ca="1" si="22"/>
        <v>No_Action</v>
      </c>
      <c r="O71" s="13" t="str">
        <f t="shared" ca="1" si="23"/>
        <v>No_Action</v>
      </c>
      <c r="P71" s="13" t="str">
        <f t="shared" ca="1" si="24"/>
        <v>No_Action</v>
      </c>
      <c r="Q71" s="13" t="str">
        <f t="shared" ca="1" si="25"/>
        <v>No_Action</v>
      </c>
      <c r="R71" s="15"/>
      <c r="S71" s="15" t="str">
        <f t="shared" ca="1" si="26"/>
        <v>NoNo</v>
      </c>
      <c r="T71" s="15"/>
      <c r="U71" s="15">
        <f t="shared" ca="1" si="27"/>
        <v>0</v>
      </c>
      <c r="V71" s="15">
        <f t="shared" ca="1" si="28"/>
        <v>0</v>
      </c>
      <c r="W71" s="15" t="str">
        <f t="shared" ca="1" si="29"/>
        <v>No_Action</v>
      </c>
      <c r="X71" s="15"/>
      <c r="Y71" s="15" t="str">
        <f t="shared" ca="1" si="30"/>
        <v>No_Action</v>
      </c>
      <c r="Z71" s="15">
        <f t="shared" ca="1" si="31"/>
        <v>0</v>
      </c>
      <c r="AA71" s="15">
        <f t="shared" ca="1" si="32"/>
        <v>0</v>
      </c>
      <c r="AB71" s="15"/>
      <c r="AC71" s="15" t="str">
        <f t="shared" ca="1" si="33"/>
        <v>NoNo</v>
      </c>
      <c r="AD71" s="15"/>
      <c r="AE71" s="15">
        <f t="shared" ca="1" si="34"/>
        <v>0</v>
      </c>
      <c r="AF71" s="16">
        <f t="shared" ca="1" si="35"/>
        <v>0</v>
      </c>
      <c r="AG71" s="16" t="str">
        <f t="shared" ca="1" si="36"/>
        <v>No_Action</v>
      </c>
      <c r="AH71" s="15"/>
      <c r="AI71" s="15" t="str">
        <f t="shared" ca="1" si="37"/>
        <v>No_Action</v>
      </c>
      <c r="AJ71" s="15">
        <f t="shared" ca="1" si="38"/>
        <v>0</v>
      </c>
      <c r="AK71" s="15">
        <f t="shared" ca="1" si="39"/>
        <v>0</v>
      </c>
    </row>
    <row r="72" spans="1:37" ht="14.5" customHeight="1" x14ac:dyDescent="0.35">
      <c r="A72" s="12" t="s">
        <v>88</v>
      </c>
      <c r="B72" s="13">
        <f ca="1">IFERROR(__xludf.DUMMYFUNCTION("GOOGLEFINANCE(""NSE:""&amp;A72,""PRICE"")"),1544)</f>
        <v>1544</v>
      </c>
      <c r="C72" s="13">
        <f ca="1">IFERROR(__xludf.DUMMYFUNCTION("GOOGLEFINANCE(""NSE:""&amp;A72,""PRICEOPEN"")"),1520)</f>
        <v>1520</v>
      </c>
      <c r="D72" s="13">
        <f ca="1">IFERROR(__xludf.DUMMYFUNCTION("GOOGLEFINANCE(""NSE:""&amp;A72,""HIGH"")"),1572.9)</f>
        <v>1572.9</v>
      </c>
      <c r="E72" s="13">
        <f ca="1">IFERROR(__xludf.DUMMYFUNCTION("GOOGLEFINANCE(""NSE:""&amp;A72,""LOW"")"),1519)</f>
        <v>1519</v>
      </c>
      <c r="F72" s="13">
        <f ca="1">IFERROR(__xludf.DUMMYFUNCTION("GOOGLEFINANCE(""NSE:""&amp;A72,""closeyest"")"),1520.45)</f>
        <v>1520.45</v>
      </c>
      <c r="G72" s="14">
        <f t="shared" ca="1" si="20"/>
        <v>1.5544041450777202E-2</v>
      </c>
      <c r="H72" s="13">
        <f ca="1">IFERROR(__xludf.DUMMYFUNCTION("GOOGLEFINANCE(""NSE:""&amp;A72,""VOLUME"")"),192581)</f>
        <v>192581</v>
      </c>
      <c r="I72" s="13" t="str">
        <f ca="1">IFERROR(__xludf.DUMMYFUNCTION("AVERAGE(index(GOOGLEFINANCE(""NSE:""&amp;$A72, ""volume"", today()-21, today()-1), , 2))"),"#N/A")</f>
        <v>#N/A</v>
      </c>
      <c r="J72" s="14" t="e">
        <f t="shared" ca="1" si="21"/>
        <v>#VALUE!</v>
      </c>
      <c r="K72" s="13" t="str">
        <f ca="1">IFERROR(__xludf.DUMMYFUNCTION("AVERAGE(index(GOOGLEFINANCE(""NSE:""&amp;$A72, ""close"", today()-6, today()-1), , 2))"),"#N/A")</f>
        <v>#N/A</v>
      </c>
      <c r="L72" s="13" t="str">
        <f ca="1">IFERROR(__xludf.DUMMYFUNCTION("AVERAGE(index(GOOGLEFINANCE(""NSE:""&amp;$A72, ""close"", today()-14, today()-1), , 2))"),"#N/A")</f>
        <v>#N/A</v>
      </c>
      <c r="M72" s="13" t="str">
        <f ca="1">IFERROR(__xludf.DUMMYFUNCTION("AVERAGE(index(GOOGLEFINANCE(""NSE:""&amp;$A72, ""close"", today()-22, today()-1), , 2))"),"#N/A")</f>
        <v>#N/A</v>
      </c>
      <c r="N72" s="13" t="str">
        <f t="shared" ca="1" si="22"/>
        <v>No_Action</v>
      </c>
      <c r="O72" s="13" t="str">
        <f t="shared" ca="1" si="23"/>
        <v>No_Action</v>
      </c>
      <c r="P72" s="13" t="str">
        <f t="shared" ca="1" si="24"/>
        <v>No_Action</v>
      </c>
      <c r="Q72" s="13" t="str">
        <f t="shared" ca="1" si="25"/>
        <v>No_Action</v>
      </c>
      <c r="R72" s="15"/>
      <c r="S72" s="15" t="str">
        <f t="shared" ca="1" si="26"/>
        <v>NoNo</v>
      </c>
      <c r="T72" s="15"/>
      <c r="U72" s="15">
        <f t="shared" ca="1" si="27"/>
        <v>0</v>
      </c>
      <c r="V72" s="15">
        <f t="shared" ca="1" si="28"/>
        <v>0</v>
      </c>
      <c r="W72" s="15" t="str">
        <f t="shared" ca="1" si="29"/>
        <v>No_Action</v>
      </c>
      <c r="X72" s="15"/>
      <c r="Y72" s="15" t="str">
        <f t="shared" ca="1" si="30"/>
        <v>No_Action</v>
      </c>
      <c r="Z72" s="15">
        <f t="shared" ca="1" si="31"/>
        <v>0</v>
      </c>
      <c r="AA72" s="15">
        <f t="shared" ca="1" si="32"/>
        <v>0</v>
      </c>
      <c r="AB72" s="15"/>
      <c r="AC72" s="15" t="str">
        <f t="shared" ca="1" si="33"/>
        <v>NoNo</v>
      </c>
      <c r="AD72" s="15"/>
      <c r="AE72" s="15">
        <f t="shared" ca="1" si="34"/>
        <v>0</v>
      </c>
      <c r="AF72" s="16">
        <f t="shared" ca="1" si="35"/>
        <v>0</v>
      </c>
      <c r="AG72" s="16" t="str">
        <f t="shared" ca="1" si="36"/>
        <v>No_Action</v>
      </c>
      <c r="AH72" s="15"/>
      <c r="AI72" s="15" t="str">
        <f t="shared" ca="1" si="37"/>
        <v>No_Action</v>
      </c>
      <c r="AJ72" s="15">
        <f t="shared" ca="1" si="38"/>
        <v>0</v>
      </c>
      <c r="AK72" s="15">
        <f t="shared" ca="1" si="39"/>
        <v>0</v>
      </c>
    </row>
    <row r="73" spans="1:37" ht="14.5" customHeight="1" x14ac:dyDescent="0.35">
      <c r="A73" s="12" t="s">
        <v>89</v>
      </c>
      <c r="B73" s="13">
        <f ca="1">IFERROR(__xludf.DUMMYFUNCTION("GOOGLEFINANCE(""NSE:""&amp;A73,""PRICE"")"),1280.05)</f>
        <v>1280.05</v>
      </c>
      <c r="C73" s="13">
        <f ca="1">IFERROR(__xludf.DUMMYFUNCTION("GOOGLEFINANCE(""NSE:""&amp;A73,""PRICEOPEN"")"),1275.1)</f>
        <v>1275.0999999999999</v>
      </c>
      <c r="D73" s="13">
        <f ca="1">IFERROR(__xludf.DUMMYFUNCTION("GOOGLEFINANCE(""NSE:""&amp;A73,""HIGH"")"),1293.4)</f>
        <v>1293.4000000000001</v>
      </c>
      <c r="E73" s="13">
        <f ca="1">IFERROR(__xludf.DUMMYFUNCTION("GOOGLEFINANCE(""NSE:""&amp;A73,""LOW"")"),1272.65)</f>
        <v>1272.6500000000001</v>
      </c>
      <c r="F73" s="13">
        <f ca="1">IFERROR(__xludf.DUMMYFUNCTION("GOOGLEFINANCE(""NSE:""&amp;A73,""closeyest"")"),1275.1)</f>
        <v>1275.0999999999999</v>
      </c>
      <c r="G73" s="14">
        <f t="shared" ca="1" si="20"/>
        <v>3.8670364438889463E-3</v>
      </c>
      <c r="H73" s="13">
        <f ca="1">IFERROR(__xludf.DUMMYFUNCTION("GOOGLEFINANCE(""NSE:""&amp;A73,""VOLUME"")"),1661864)</f>
        <v>1661864</v>
      </c>
      <c r="I73" s="13" t="str">
        <f ca="1">IFERROR(__xludf.DUMMYFUNCTION("AVERAGE(index(GOOGLEFINANCE(""NSE:""&amp;$A73, ""volume"", today()-21, today()-1), , 2))"),"#N/A")</f>
        <v>#N/A</v>
      </c>
      <c r="J73" s="14" t="e">
        <f t="shared" ca="1" si="21"/>
        <v>#VALUE!</v>
      </c>
      <c r="K73" s="13" t="str">
        <f ca="1">IFERROR(__xludf.DUMMYFUNCTION("AVERAGE(index(GOOGLEFINANCE(""NSE:""&amp;$A73, ""close"", today()-6, today()-1), , 2))"),"#N/A")</f>
        <v>#N/A</v>
      </c>
      <c r="L73" s="13" t="str">
        <f ca="1">IFERROR(__xludf.DUMMYFUNCTION("AVERAGE(index(GOOGLEFINANCE(""NSE:""&amp;$A73, ""close"", today()-14, today()-1), , 2))"),"#N/A")</f>
        <v>#N/A</v>
      </c>
      <c r="M73" s="13" t="str">
        <f ca="1">IFERROR(__xludf.DUMMYFUNCTION("AVERAGE(index(GOOGLEFINANCE(""NSE:""&amp;$A73, ""close"", today()-22, today()-1), , 2))"),"#N/A")</f>
        <v>#N/A</v>
      </c>
      <c r="N73" s="13" t="str">
        <f t="shared" ca="1" si="22"/>
        <v>No_Action</v>
      </c>
      <c r="O73" s="13" t="str">
        <f t="shared" ca="1" si="23"/>
        <v>No_Action</v>
      </c>
      <c r="P73" s="13" t="str">
        <f t="shared" ca="1" si="24"/>
        <v>No_Action</v>
      </c>
      <c r="Q73" s="13" t="str">
        <f t="shared" ca="1" si="25"/>
        <v>No_Action</v>
      </c>
      <c r="R73" s="15"/>
      <c r="S73" s="15" t="str">
        <f t="shared" ca="1" si="26"/>
        <v>NoNo</v>
      </c>
      <c r="T73" s="15"/>
      <c r="U73" s="15">
        <f t="shared" ca="1" si="27"/>
        <v>0</v>
      </c>
      <c r="V73" s="15">
        <f t="shared" ca="1" si="28"/>
        <v>0</v>
      </c>
      <c r="W73" s="15" t="str">
        <f t="shared" ca="1" si="29"/>
        <v>No_Action</v>
      </c>
      <c r="X73" s="15"/>
      <c r="Y73" s="15" t="str">
        <f t="shared" ca="1" si="30"/>
        <v>No_Action</v>
      </c>
      <c r="Z73" s="15">
        <f t="shared" ca="1" si="31"/>
        <v>0</v>
      </c>
      <c r="AA73" s="15">
        <f t="shared" ca="1" si="32"/>
        <v>0</v>
      </c>
      <c r="AB73" s="15"/>
      <c r="AC73" s="15" t="str">
        <f t="shared" ca="1" si="33"/>
        <v>NoNo</v>
      </c>
      <c r="AD73" s="15"/>
      <c r="AE73" s="15">
        <f t="shared" ca="1" si="34"/>
        <v>0</v>
      </c>
      <c r="AF73" s="16">
        <f t="shared" ca="1" si="35"/>
        <v>0</v>
      </c>
      <c r="AG73" s="16" t="str">
        <f t="shared" ca="1" si="36"/>
        <v>No_Action</v>
      </c>
      <c r="AH73" s="15"/>
      <c r="AI73" s="15" t="str">
        <f t="shared" ca="1" si="37"/>
        <v>No_Action</v>
      </c>
      <c r="AJ73" s="15">
        <f t="shared" ca="1" si="38"/>
        <v>0</v>
      </c>
      <c r="AK73" s="15">
        <f t="shared" ca="1" si="39"/>
        <v>0</v>
      </c>
    </row>
    <row r="74" spans="1:37" ht="14.5" customHeight="1" x14ac:dyDescent="0.35">
      <c r="A74" s="12" t="s">
        <v>90</v>
      </c>
      <c r="B74" s="13">
        <f ca="1">IFERROR(__xludf.DUMMYFUNCTION("GOOGLEFINANCE(""NSE:""&amp;A74,""PRICE"")"),483.55)</f>
        <v>483.55</v>
      </c>
      <c r="C74" s="13">
        <f ca="1">IFERROR(__xludf.DUMMYFUNCTION("GOOGLEFINANCE(""NSE:""&amp;A74,""PRICEOPEN"")"),480.85)</f>
        <v>480.85</v>
      </c>
      <c r="D74" s="13">
        <f ca="1">IFERROR(__xludf.DUMMYFUNCTION("GOOGLEFINANCE(""NSE:""&amp;A74,""HIGH"")"),487)</f>
        <v>487</v>
      </c>
      <c r="E74" s="13">
        <f ca="1">IFERROR(__xludf.DUMMYFUNCTION("GOOGLEFINANCE(""NSE:""&amp;A74,""LOW"")"),477.25)</f>
        <v>477.25</v>
      </c>
      <c r="F74" s="13">
        <f ca="1">IFERROR(__xludf.DUMMYFUNCTION("GOOGLEFINANCE(""NSE:""&amp;A74,""closeyest"")"),481.3)</f>
        <v>481.3</v>
      </c>
      <c r="G74" s="14">
        <f t="shared" ca="1" si="20"/>
        <v>5.5837038568917145E-3</v>
      </c>
      <c r="H74" s="13">
        <f ca="1">IFERROR(__xludf.DUMMYFUNCTION("GOOGLEFINANCE(""NSE:""&amp;A74,""VOLUME"")"),136095)</f>
        <v>136095</v>
      </c>
      <c r="I74" s="13" t="str">
        <f ca="1">IFERROR(__xludf.DUMMYFUNCTION("AVERAGE(index(GOOGLEFINANCE(""NSE:""&amp;$A74, ""volume"", today()-21, today()-1), , 2))"),"#N/A")</f>
        <v>#N/A</v>
      </c>
      <c r="J74" s="14" t="e">
        <f t="shared" ca="1" si="21"/>
        <v>#VALUE!</v>
      </c>
      <c r="K74" s="13" t="str">
        <f ca="1">IFERROR(__xludf.DUMMYFUNCTION("AVERAGE(index(GOOGLEFINANCE(""NSE:""&amp;$A74, ""close"", today()-6, today()-1), , 2))"),"#N/A")</f>
        <v>#N/A</v>
      </c>
      <c r="L74" s="13" t="str">
        <f ca="1">IFERROR(__xludf.DUMMYFUNCTION("AVERAGE(index(GOOGLEFINANCE(""NSE:""&amp;$A74, ""close"", today()-14, today()-1), , 2))"),"#N/A")</f>
        <v>#N/A</v>
      </c>
      <c r="M74" s="13" t="str">
        <f ca="1">IFERROR(__xludf.DUMMYFUNCTION("AVERAGE(index(GOOGLEFINANCE(""NSE:""&amp;$A74, ""close"", today()-22, today()-1), , 2))"),"#N/A")</f>
        <v>#N/A</v>
      </c>
      <c r="N74" s="13" t="str">
        <f t="shared" ca="1" si="22"/>
        <v>No_Action</v>
      </c>
      <c r="O74" s="13" t="str">
        <f t="shared" ca="1" si="23"/>
        <v>No_Action</v>
      </c>
      <c r="P74" s="13" t="str">
        <f t="shared" ca="1" si="24"/>
        <v>No_Action</v>
      </c>
      <c r="Q74" s="13" t="str">
        <f t="shared" ca="1" si="25"/>
        <v>No_Action</v>
      </c>
      <c r="R74" s="15"/>
      <c r="S74" s="15" t="str">
        <f t="shared" ca="1" si="26"/>
        <v>NoNo</v>
      </c>
      <c r="T74" s="15"/>
      <c r="U74" s="15">
        <f t="shared" ca="1" si="27"/>
        <v>0</v>
      </c>
      <c r="V74" s="15">
        <f t="shared" ca="1" si="28"/>
        <v>0</v>
      </c>
      <c r="W74" s="15" t="str">
        <f t="shared" ca="1" si="29"/>
        <v>No_Action</v>
      </c>
      <c r="X74" s="15"/>
      <c r="Y74" s="15" t="str">
        <f t="shared" ca="1" si="30"/>
        <v>No_Action</v>
      </c>
      <c r="Z74" s="15">
        <f t="shared" ca="1" si="31"/>
        <v>0</v>
      </c>
      <c r="AA74" s="15">
        <f t="shared" ca="1" si="32"/>
        <v>0</v>
      </c>
      <c r="AB74" s="15"/>
      <c r="AC74" s="15" t="str">
        <f t="shared" ca="1" si="33"/>
        <v>NoNo</v>
      </c>
      <c r="AD74" s="15"/>
      <c r="AE74" s="15">
        <f t="shared" ca="1" si="34"/>
        <v>0</v>
      </c>
      <c r="AF74" s="16">
        <f t="shared" ca="1" si="35"/>
        <v>0</v>
      </c>
      <c r="AG74" s="16" t="str">
        <f t="shared" ca="1" si="36"/>
        <v>No_Action</v>
      </c>
      <c r="AH74" s="15"/>
      <c r="AI74" s="15" t="str">
        <f t="shared" ca="1" si="37"/>
        <v>No_Action</v>
      </c>
      <c r="AJ74" s="15">
        <f t="shared" ca="1" si="38"/>
        <v>0</v>
      </c>
      <c r="AK74" s="15">
        <f t="shared" ca="1" si="39"/>
        <v>0</v>
      </c>
    </row>
    <row r="75" spans="1:37" ht="14.5" customHeight="1" x14ac:dyDescent="0.35">
      <c r="A75" s="12" t="s">
        <v>91</v>
      </c>
      <c r="B75" s="13">
        <f ca="1">IFERROR(__xludf.DUMMYFUNCTION("GOOGLEFINANCE(""NSE:""&amp;A75,""PRICE"")"),1470.8)</f>
        <v>1470.8</v>
      </c>
      <c r="C75" s="13">
        <f ca="1">IFERROR(__xludf.DUMMYFUNCTION("GOOGLEFINANCE(""NSE:""&amp;A75,""PRICEOPEN"")"),1480)</f>
        <v>1480</v>
      </c>
      <c r="D75" s="13">
        <f ca="1">IFERROR(__xludf.DUMMYFUNCTION("GOOGLEFINANCE(""NSE:""&amp;A75,""HIGH"")"),1484.75)</f>
        <v>1484.75</v>
      </c>
      <c r="E75" s="13">
        <f ca="1">IFERROR(__xludf.DUMMYFUNCTION("GOOGLEFINANCE(""NSE:""&amp;A75,""LOW"")"),1467.3)</f>
        <v>1467.3</v>
      </c>
      <c r="F75" s="13">
        <f ca="1">IFERROR(__xludf.DUMMYFUNCTION("GOOGLEFINANCE(""NSE:""&amp;A75,""closeyest"")"),1477.4)</f>
        <v>1477.4</v>
      </c>
      <c r="G75" s="14">
        <f t="shared" ca="1" si="20"/>
        <v>-6.2550992657057691E-3</v>
      </c>
      <c r="H75" s="13">
        <f ca="1">IFERROR(__xludf.DUMMYFUNCTION("GOOGLEFINANCE(""NSE:""&amp;A75,""VOLUME"")"),2144057)</f>
        <v>2144057</v>
      </c>
      <c r="I75" s="13" t="str">
        <f ca="1">IFERROR(__xludf.DUMMYFUNCTION("AVERAGE(index(GOOGLEFINANCE(""NSE:""&amp;$A75, ""volume"", today()-21, today()-1), , 2))"),"#N/A")</f>
        <v>#N/A</v>
      </c>
      <c r="J75" s="14" t="e">
        <f t="shared" ca="1" si="21"/>
        <v>#VALUE!</v>
      </c>
      <c r="K75" s="13" t="str">
        <f ca="1">IFERROR(__xludf.DUMMYFUNCTION("AVERAGE(index(GOOGLEFINANCE(""NSE:""&amp;$A75, ""close"", today()-6, today()-1), , 2))"),"#N/A")</f>
        <v>#N/A</v>
      </c>
      <c r="L75" s="13" t="str">
        <f ca="1">IFERROR(__xludf.DUMMYFUNCTION("AVERAGE(index(GOOGLEFINANCE(""NSE:""&amp;$A75, ""close"", today()-14, today()-1), , 2))"),"#N/A")</f>
        <v>#N/A</v>
      </c>
      <c r="M75" s="13" t="str">
        <f ca="1">IFERROR(__xludf.DUMMYFUNCTION("AVERAGE(index(GOOGLEFINANCE(""NSE:""&amp;$A75, ""close"", today()-22, today()-1), , 2))"),"#N/A")</f>
        <v>#N/A</v>
      </c>
      <c r="N75" s="13" t="str">
        <f t="shared" ca="1" si="22"/>
        <v>No_Action</v>
      </c>
      <c r="O75" s="13" t="str">
        <f t="shared" ca="1" si="23"/>
        <v>No_Action</v>
      </c>
      <c r="P75" s="13" t="str">
        <f t="shared" ca="1" si="24"/>
        <v>No_Action</v>
      </c>
      <c r="Q75" s="13" t="str">
        <f t="shared" ca="1" si="25"/>
        <v>No_Action</v>
      </c>
      <c r="R75" s="15"/>
      <c r="S75" s="15" t="str">
        <f t="shared" ca="1" si="26"/>
        <v>NoNo</v>
      </c>
      <c r="T75" s="15"/>
      <c r="U75" s="15">
        <f t="shared" ca="1" si="27"/>
        <v>0</v>
      </c>
      <c r="V75" s="15">
        <f t="shared" ca="1" si="28"/>
        <v>0</v>
      </c>
      <c r="W75" s="15" t="str">
        <f t="shared" ca="1" si="29"/>
        <v>No_Action</v>
      </c>
      <c r="X75" s="15"/>
      <c r="Y75" s="15" t="str">
        <f t="shared" ca="1" si="30"/>
        <v>No_Action</v>
      </c>
      <c r="Z75" s="15">
        <f t="shared" ca="1" si="31"/>
        <v>0</v>
      </c>
      <c r="AA75" s="15">
        <f t="shared" ca="1" si="32"/>
        <v>0</v>
      </c>
      <c r="AB75" s="15"/>
      <c r="AC75" s="15" t="str">
        <f t="shared" ca="1" si="33"/>
        <v>NoNo</v>
      </c>
      <c r="AD75" s="15"/>
      <c r="AE75" s="15">
        <f t="shared" ca="1" si="34"/>
        <v>0</v>
      </c>
      <c r="AF75" s="16">
        <f t="shared" ca="1" si="35"/>
        <v>0</v>
      </c>
      <c r="AG75" s="16" t="str">
        <f t="shared" ca="1" si="36"/>
        <v>No_Action</v>
      </c>
      <c r="AH75" s="15"/>
      <c r="AI75" s="15" t="str">
        <f t="shared" ca="1" si="37"/>
        <v>No_Action</v>
      </c>
      <c r="AJ75" s="15">
        <f t="shared" ca="1" si="38"/>
        <v>0</v>
      </c>
      <c r="AK75" s="15">
        <f t="shared" ca="1" si="39"/>
        <v>0</v>
      </c>
    </row>
    <row r="76" spans="1:37" ht="14.5" customHeight="1" x14ac:dyDescent="0.35">
      <c r="A76" s="12" t="s">
        <v>92</v>
      </c>
      <c r="B76" s="13">
        <f ca="1">IFERROR(__xludf.DUMMYFUNCTION("GOOGLEFINANCE(""NSE:""&amp;A76,""PRICE"")"),526.95)</f>
        <v>526.95000000000005</v>
      </c>
      <c r="C76" s="13">
        <f ca="1">IFERROR(__xludf.DUMMYFUNCTION("GOOGLEFINANCE(""NSE:""&amp;A76,""PRICEOPEN"")"),516)</f>
        <v>516</v>
      </c>
      <c r="D76" s="13">
        <f ca="1">IFERROR(__xludf.DUMMYFUNCTION("GOOGLEFINANCE(""NSE:""&amp;A76,""HIGH"")"),528)</f>
        <v>528</v>
      </c>
      <c r="E76" s="13">
        <f ca="1">IFERROR(__xludf.DUMMYFUNCTION("GOOGLEFINANCE(""NSE:""&amp;A76,""LOW"")"),508.15)</f>
        <v>508.15</v>
      </c>
      <c r="F76" s="13">
        <f ca="1">IFERROR(__xludf.DUMMYFUNCTION("GOOGLEFINANCE(""NSE:""&amp;A76,""closeyest"")"),513.5)</f>
        <v>513.5</v>
      </c>
      <c r="G76" s="14">
        <f t="shared" ca="1" si="20"/>
        <v>2.077996014802172E-2</v>
      </c>
      <c r="H76" s="13">
        <f ca="1">IFERROR(__xludf.DUMMYFUNCTION("GOOGLEFINANCE(""NSE:""&amp;A76,""VOLUME"")"),410273)</f>
        <v>410273</v>
      </c>
      <c r="I76" s="13" t="str">
        <f ca="1">IFERROR(__xludf.DUMMYFUNCTION("AVERAGE(index(GOOGLEFINANCE(""NSE:""&amp;$A76, ""volume"", today()-21, today()-1), , 2))"),"#N/A")</f>
        <v>#N/A</v>
      </c>
      <c r="J76" s="14" t="e">
        <f t="shared" ca="1" si="21"/>
        <v>#VALUE!</v>
      </c>
      <c r="K76" s="13" t="str">
        <f ca="1">IFERROR(__xludf.DUMMYFUNCTION("AVERAGE(index(GOOGLEFINANCE(""NSE:""&amp;$A76, ""close"", today()-6, today()-1), , 2))"),"#N/A")</f>
        <v>#N/A</v>
      </c>
      <c r="L76" s="13" t="str">
        <f ca="1">IFERROR(__xludf.DUMMYFUNCTION("AVERAGE(index(GOOGLEFINANCE(""NSE:""&amp;$A76, ""close"", today()-14, today()-1), , 2))"),"#N/A")</f>
        <v>#N/A</v>
      </c>
      <c r="M76" s="13" t="str">
        <f ca="1">IFERROR(__xludf.DUMMYFUNCTION("AVERAGE(index(GOOGLEFINANCE(""NSE:""&amp;$A76, ""close"", today()-22, today()-1), , 2))"),"#N/A")</f>
        <v>#N/A</v>
      </c>
      <c r="N76" s="13" t="str">
        <f t="shared" ca="1" si="22"/>
        <v>No_Action</v>
      </c>
      <c r="O76" s="13" t="str">
        <f t="shared" ca="1" si="23"/>
        <v>No_Action</v>
      </c>
      <c r="P76" s="13" t="str">
        <f t="shared" ca="1" si="24"/>
        <v>No_Action</v>
      </c>
      <c r="Q76" s="13" t="str">
        <f t="shared" ca="1" si="25"/>
        <v>No_Action</v>
      </c>
      <c r="R76" s="15"/>
      <c r="S76" s="15" t="str">
        <f t="shared" ca="1" si="26"/>
        <v>NoNo</v>
      </c>
      <c r="T76" s="15"/>
      <c r="U76" s="15">
        <f t="shared" ca="1" si="27"/>
        <v>0</v>
      </c>
      <c r="V76" s="15">
        <f t="shared" ca="1" si="28"/>
        <v>0</v>
      </c>
      <c r="W76" s="15" t="str">
        <f t="shared" ca="1" si="29"/>
        <v>No_Action</v>
      </c>
      <c r="X76" s="15"/>
      <c r="Y76" s="15" t="str">
        <f t="shared" ca="1" si="30"/>
        <v>No_Action</v>
      </c>
      <c r="Z76" s="15">
        <f t="shared" ca="1" si="31"/>
        <v>0</v>
      </c>
      <c r="AA76" s="15">
        <f t="shared" ca="1" si="32"/>
        <v>0</v>
      </c>
      <c r="AB76" s="15"/>
      <c r="AC76" s="15" t="str">
        <f t="shared" ca="1" si="33"/>
        <v>NoNo</v>
      </c>
      <c r="AD76" s="15"/>
      <c r="AE76" s="15">
        <f t="shared" ca="1" si="34"/>
        <v>0</v>
      </c>
      <c r="AF76" s="16">
        <f t="shared" ca="1" si="35"/>
        <v>0</v>
      </c>
      <c r="AG76" s="16" t="str">
        <f t="shared" ca="1" si="36"/>
        <v>No_Action</v>
      </c>
      <c r="AH76" s="15"/>
      <c r="AI76" s="15" t="str">
        <f t="shared" ca="1" si="37"/>
        <v>No_Action</v>
      </c>
      <c r="AJ76" s="15">
        <f t="shared" ca="1" si="38"/>
        <v>0</v>
      </c>
      <c r="AK76" s="15">
        <f t="shared" ca="1" si="39"/>
        <v>0</v>
      </c>
    </row>
    <row r="77" spans="1:37" ht="14.5" customHeight="1" x14ac:dyDescent="0.35">
      <c r="A77" s="12" t="s">
        <v>93</v>
      </c>
      <c r="B77" s="13">
        <f ca="1">IFERROR(__xludf.DUMMYFUNCTION("GOOGLEFINANCE(""NSE:""&amp;A77,""PRICE"")"),414.4)</f>
        <v>414.4</v>
      </c>
      <c r="C77" s="13">
        <f ca="1">IFERROR(__xludf.DUMMYFUNCTION("GOOGLEFINANCE(""NSE:""&amp;A77,""PRICEOPEN"")"),418)</f>
        <v>418</v>
      </c>
      <c r="D77" s="13">
        <f ca="1">IFERROR(__xludf.DUMMYFUNCTION("GOOGLEFINANCE(""NSE:""&amp;A77,""HIGH"")"),420.95)</f>
        <v>420.95</v>
      </c>
      <c r="E77" s="13">
        <f ca="1">IFERROR(__xludf.DUMMYFUNCTION("GOOGLEFINANCE(""NSE:""&amp;A77,""LOW"")"),412.5)</f>
        <v>412.5</v>
      </c>
      <c r="F77" s="13">
        <f ca="1">IFERROR(__xludf.DUMMYFUNCTION("GOOGLEFINANCE(""NSE:""&amp;A77,""closeyest"")"),417.15)</f>
        <v>417.15</v>
      </c>
      <c r="G77" s="14">
        <f t="shared" ca="1" si="20"/>
        <v>-8.6872586872587428E-3</v>
      </c>
      <c r="H77" s="13">
        <f ca="1">IFERROR(__xludf.DUMMYFUNCTION("GOOGLEFINANCE(""NSE:""&amp;A77,""VOLUME"")"),6662023)</f>
        <v>6662023</v>
      </c>
      <c r="I77" s="13" t="str">
        <f ca="1">IFERROR(__xludf.DUMMYFUNCTION("AVERAGE(index(GOOGLEFINANCE(""NSE:""&amp;$A77, ""volume"", today()-21, today()-1), , 2))"),"#N/A")</f>
        <v>#N/A</v>
      </c>
      <c r="J77" s="14" t="e">
        <f t="shared" ca="1" si="21"/>
        <v>#VALUE!</v>
      </c>
      <c r="K77" s="13" t="str">
        <f ca="1">IFERROR(__xludf.DUMMYFUNCTION("AVERAGE(index(GOOGLEFINANCE(""NSE:""&amp;$A77, ""close"", today()-6, today()-1), , 2))"),"#N/A")</f>
        <v>#N/A</v>
      </c>
      <c r="L77" s="13" t="str">
        <f ca="1">IFERROR(__xludf.DUMMYFUNCTION("AVERAGE(index(GOOGLEFINANCE(""NSE:""&amp;$A77, ""close"", today()-14, today()-1), , 2))"),"#N/A")</f>
        <v>#N/A</v>
      </c>
      <c r="M77" s="13" t="str">
        <f ca="1">IFERROR(__xludf.DUMMYFUNCTION("AVERAGE(index(GOOGLEFINANCE(""NSE:""&amp;$A77, ""close"", today()-22, today()-1), , 2))"),"#N/A")</f>
        <v>#N/A</v>
      </c>
      <c r="N77" s="13" t="str">
        <f t="shared" ca="1" si="22"/>
        <v>No_Action</v>
      </c>
      <c r="O77" s="13" t="str">
        <f t="shared" ca="1" si="23"/>
        <v>No_Action</v>
      </c>
      <c r="P77" s="13" t="str">
        <f t="shared" ca="1" si="24"/>
        <v>No_Action</v>
      </c>
      <c r="Q77" s="13" t="str">
        <f t="shared" ca="1" si="25"/>
        <v>No_Action</v>
      </c>
      <c r="R77" s="15"/>
      <c r="S77" s="15" t="str">
        <f t="shared" ca="1" si="26"/>
        <v>NoNo</v>
      </c>
      <c r="T77" s="15"/>
      <c r="U77" s="15">
        <f t="shared" ca="1" si="27"/>
        <v>0</v>
      </c>
      <c r="V77" s="15">
        <f t="shared" ca="1" si="28"/>
        <v>0</v>
      </c>
      <c r="W77" s="15" t="str">
        <f t="shared" ca="1" si="29"/>
        <v>No_Action</v>
      </c>
      <c r="X77" s="15"/>
      <c r="Y77" s="15" t="str">
        <f t="shared" ca="1" si="30"/>
        <v>No_Action</v>
      </c>
      <c r="Z77" s="15">
        <f t="shared" ca="1" si="31"/>
        <v>0</v>
      </c>
      <c r="AA77" s="15">
        <f t="shared" ca="1" si="32"/>
        <v>0</v>
      </c>
      <c r="AB77" s="15"/>
      <c r="AC77" s="15" t="str">
        <f t="shared" ca="1" si="33"/>
        <v>NoNo</v>
      </c>
      <c r="AD77" s="15"/>
      <c r="AE77" s="15">
        <f t="shared" ca="1" si="34"/>
        <v>0</v>
      </c>
      <c r="AF77" s="16">
        <f t="shared" ca="1" si="35"/>
        <v>0</v>
      </c>
      <c r="AG77" s="16" t="str">
        <f t="shared" ca="1" si="36"/>
        <v>No_Action</v>
      </c>
      <c r="AH77" s="15"/>
      <c r="AI77" s="15" t="str">
        <f t="shared" ca="1" si="37"/>
        <v>No_Action</v>
      </c>
      <c r="AJ77" s="15">
        <f t="shared" ca="1" si="38"/>
        <v>0</v>
      </c>
      <c r="AK77" s="15">
        <f t="shared" ca="1" si="39"/>
        <v>0</v>
      </c>
    </row>
    <row r="78" spans="1:37" ht="14.5" customHeight="1" x14ac:dyDescent="0.35">
      <c r="A78" s="12" t="s">
        <v>94</v>
      </c>
      <c r="B78" s="13">
        <f ca="1">IFERROR(__xludf.DUMMYFUNCTION("GOOGLEFINANCE(""NSE:""&amp;A78,""PRICE"")"),1681)</f>
        <v>1681</v>
      </c>
      <c r="C78" s="13">
        <f ca="1">IFERROR(__xludf.DUMMYFUNCTION("GOOGLEFINANCE(""NSE:""&amp;A78,""PRICEOPEN"")"),1684.7)</f>
        <v>1684.7</v>
      </c>
      <c r="D78" s="13">
        <f ca="1">IFERROR(__xludf.DUMMYFUNCTION("GOOGLEFINANCE(""NSE:""&amp;A78,""HIGH"")"),1693.9)</f>
        <v>1693.9</v>
      </c>
      <c r="E78" s="13">
        <f ca="1">IFERROR(__xludf.DUMMYFUNCTION("GOOGLEFINANCE(""NSE:""&amp;A78,""LOW"")"),1663)</f>
        <v>1663</v>
      </c>
      <c r="F78" s="13">
        <f ca="1">IFERROR(__xludf.DUMMYFUNCTION("GOOGLEFINANCE(""NSE:""&amp;A78,""closeyest"")"),1691.9)</f>
        <v>1691.9</v>
      </c>
      <c r="G78" s="14">
        <f t="shared" ca="1" si="20"/>
        <v>-2.2010707911957438E-3</v>
      </c>
      <c r="H78" s="13">
        <f ca="1">IFERROR(__xludf.DUMMYFUNCTION("GOOGLEFINANCE(""NSE:""&amp;A78,""VOLUME"")"),359831)</f>
        <v>359831</v>
      </c>
      <c r="I78" s="13" t="str">
        <f ca="1">IFERROR(__xludf.DUMMYFUNCTION("AVERAGE(index(GOOGLEFINANCE(""NSE:""&amp;$A78, ""volume"", today()-21, today()-1), , 2))"),"#N/A")</f>
        <v>#N/A</v>
      </c>
      <c r="J78" s="14" t="e">
        <f t="shared" ca="1" si="21"/>
        <v>#VALUE!</v>
      </c>
      <c r="K78" s="13" t="str">
        <f ca="1">IFERROR(__xludf.DUMMYFUNCTION("AVERAGE(index(GOOGLEFINANCE(""NSE:""&amp;$A78, ""close"", today()-6, today()-1), , 2))"),"#N/A")</f>
        <v>#N/A</v>
      </c>
      <c r="L78" s="13" t="str">
        <f ca="1">IFERROR(__xludf.DUMMYFUNCTION("AVERAGE(index(GOOGLEFINANCE(""NSE:""&amp;$A78, ""close"", today()-14, today()-1), , 2))"),"#N/A")</f>
        <v>#N/A</v>
      </c>
      <c r="M78" s="13" t="str">
        <f ca="1">IFERROR(__xludf.DUMMYFUNCTION("AVERAGE(index(GOOGLEFINANCE(""NSE:""&amp;$A78, ""close"", today()-22, today()-1), , 2))"),"#N/A")</f>
        <v>#N/A</v>
      </c>
      <c r="N78" s="13" t="str">
        <f t="shared" ca="1" si="22"/>
        <v>No_Action</v>
      </c>
      <c r="O78" s="13" t="str">
        <f t="shared" ca="1" si="23"/>
        <v>No_Action</v>
      </c>
      <c r="P78" s="13" t="str">
        <f t="shared" ca="1" si="24"/>
        <v>No_Action</v>
      </c>
      <c r="Q78" s="13" t="str">
        <f t="shared" ca="1" si="25"/>
        <v>No_Action</v>
      </c>
      <c r="R78" s="15"/>
      <c r="S78" s="15" t="str">
        <f t="shared" ca="1" si="26"/>
        <v>NoNo</v>
      </c>
      <c r="T78" s="15"/>
      <c r="U78" s="15">
        <f t="shared" ca="1" si="27"/>
        <v>0</v>
      </c>
      <c r="V78" s="15">
        <f t="shared" ca="1" si="28"/>
        <v>0</v>
      </c>
      <c r="W78" s="15" t="str">
        <f t="shared" ca="1" si="29"/>
        <v>No_Action</v>
      </c>
      <c r="X78" s="15"/>
      <c r="Y78" s="15" t="str">
        <f t="shared" ca="1" si="30"/>
        <v>No_Action</v>
      </c>
      <c r="Z78" s="15">
        <f t="shared" ca="1" si="31"/>
        <v>0</v>
      </c>
      <c r="AA78" s="15">
        <f t="shared" ca="1" si="32"/>
        <v>0</v>
      </c>
      <c r="AB78" s="15"/>
      <c r="AC78" s="15" t="str">
        <f t="shared" ca="1" si="33"/>
        <v>NoNo</v>
      </c>
      <c r="AD78" s="15"/>
      <c r="AE78" s="15">
        <f t="shared" ca="1" si="34"/>
        <v>0</v>
      </c>
      <c r="AF78" s="16">
        <f t="shared" ca="1" si="35"/>
        <v>0</v>
      </c>
      <c r="AG78" s="16" t="str">
        <f t="shared" ca="1" si="36"/>
        <v>No_Action</v>
      </c>
      <c r="AH78" s="15"/>
      <c r="AI78" s="15" t="str">
        <f t="shared" ca="1" si="37"/>
        <v>No_Action</v>
      </c>
      <c r="AJ78" s="15">
        <f t="shared" ca="1" si="38"/>
        <v>0</v>
      </c>
      <c r="AK78" s="15">
        <f t="shared" ca="1" si="39"/>
        <v>0</v>
      </c>
    </row>
    <row r="79" spans="1:37" ht="14.5" customHeight="1" x14ac:dyDescent="0.35">
      <c r="A79" s="12" t="s">
        <v>95</v>
      </c>
      <c r="B79" s="13">
        <f ca="1">IFERROR(__xludf.DUMMYFUNCTION("GOOGLEFINANCE(""NSE:""&amp;A79,""PRICE"")"),2804)</f>
        <v>2804</v>
      </c>
      <c r="C79" s="13">
        <f ca="1">IFERROR(__xludf.DUMMYFUNCTION("GOOGLEFINANCE(""NSE:""&amp;A79,""PRICEOPEN"")"),2886.8)</f>
        <v>2886.8</v>
      </c>
      <c r="D79" s="13">
        <f ca="1">IFERROR(__xludf.DUMMYFUNCTION("GOOGLEFINANCE(""NSE:""&amp;A79,""HIGH"")"),2886.8)</f>
        <v>2886.8</v>
      </c>
      <c r="E79" s="13">
        <f ca="1">IFERROR(__xludf.DUMMYFUNCTION("GOOGLEFINANCE(""NSE:""&amp;A79,""LOW"")"),2777.5)</f>
        <v>2777.5</v>
      </c>
      <c r="F79" s="13">
        <f ca="1">IFERROR(__xludf.DUMMYFUNCTION("GOOGLEFINANCE(""NSE:""&amp;A79,""closeyest"")"),2886.8)</f>
        <v>2886.8</v>
      </c>
      <c r="G79" s="14">
        <f t="shared" ca="1" si="20"/>
        <v>-2.952924393723259E-2</v>
      </c>
      <c r="H79" s="13">
        <f ca="1">IFERROR(__xludf.DUMMYFUNCTION("GOOGLEFINANCE(""NSE:""&amp;A79,""VOLUME"")"),834357)</f>
        <v>834357</v>
      </c>
      <c r="I79" s="13" t="str">
        <f ca="1">IFERROR(__xludf.DUMMYFUNCTION("AVERAGE(index(GOOGLEFINANCE(""NSE:""&amp;$A79, ""volume"", today()-21, today()-1), , 2))"),"#N/A")</f>
        <v>#N/A</v>
      </c>
      <c r="J79" s="14" t="e">
        <f t="shared" ca="1" si="21"/>
        <v>#VALUE!</v>
      </c>
      <c r="K79" s="13" t="str">
        <f ca="1">IFERROR(__xludf.DUMMYFUNCTION("AVERAGE(index(GOOGLEFINANCE(""NSE:""&amp;$A79, ""close"", today()-6, today()-1), , 2))"),"#N/A")</f>
        <v>#N/A</v>
      </c>
      <c r="L79" s="13" t="str">
        <f ca="1">IFERROR(__xludf.DUMMYFUNCTION("AVERAGE(index(GOOGLEFINANCE(""NSE:""&amp;$A79, ""close"", today()-14, today()-1), , 2))"),"#N/A")</f>
        <v>#N/A</v>
      </c>
      <c r="M79" s="13" t="str">
        <f ca="1">IFERROR(__xludf.DUMMYFUNCTION("AVERAGE(index(GOOGLEFINANCE(""NSE:""&amp;$A79, ""close"", today()-22, today()-1), , 2))"),"#N/A")</f>
        <v>#N/A</v>
      </c>
      <c r="N79" s="13" t="str">
        <f t="shared" ca="1" si="22"/>
        <v>No_Action</v>
      </c>
      <c r="O79" s="13" t="str">
        <f t="shared" ca="1" si="23"/>
        <v>No_Action</v>
      </c>
      <c r="P79" s="13" t="str">
        <f t="shared" ca="1" si="24"/>
        <v>No_Action</v>
      </c>
      <c r="Q79" s="13" t="str">
        <f t="shared" ca="1" si="25"/>
        <v>No_Action</v>
      </c>
      <c r="R79" s="15"/>
      <c r="S79" s="15" t="str">
        <f t="shared" ca="1" si="26"/>
        <v>NoNo</v>
      </c>
      <c r="T79" s="15"/>
      <c r="U79" s="15">
        <f t="shared" ca="1" si="27"/>
        <v>0</v>
      </c>
      <c r="V79" s="15">
        <f t="shared" ca="1" si="28"/>
        <v>0</v>
      </c>
      <c r="W79" s="15" t="str">
        <f t="shared" ca="1" si="29"/>
        <v>No_Action</v>
      </c>
      <c r="X79" s="15"/>
      <c r="Y79" s="15" t="str">
        <f t="shared" ca="1" si="30"/>
        <v>No_Action</v>
      </c>
      <c r="Z79" s="15">
        <f t="shared" ca="1" si="31"/>
        <v>0</v>
      </c>
      <c r="AA79" s="15">
        <f t="shared" ca="1" si="32"/>
        <v>0</v>
      </c>
      <c r="AB79" s="15"/>
      <c r="AC79" s="15" t="str">
        <f t="shared" ca="1" si="33"/>
        <v>NoNo</v>
      </c>
      <c r="AD79" s="15"/>
      <c r="AE79" s="15">
        <f t="shared" ca="1" si="34"/>
        <v>0</v>
      </c>
      <c r="AF79" s="16">
        <f t="shared" ca="1" si="35"/>
        <v>0</v>
      </c>
      <c r="AG79" s="16" t="str">
        <f t="shared" ca="1" si="36"/>
        <v>No_Action</v>
      </c>
      <c r="AH79" s="15"/>
      <c r="AI79" s="15" t="str">
        <f t="shared" ca="1" si="37"/>
        <v>No_Action</v>
      </c>
      <c r="AJ79" s="15">
        <f t="shared" ca="1" si="38"/>
        <v>0</v>
      </c>
      <c r="AK79" s="15">
        <f t="shared" ca="1" si="39"/>
        <v>0</v>
      </c>
    </row>
    <row r="80" spans="1:37" ht="14.5" customHeight="1" x14ac:dyDescent="0.35">
      <c r="A80" s="12" t="s">
        <v>96</v>
      </c>
      <c r="B80" s="13">
        <f ca="1">IFERROR(__xludf.DUMMYFUNCTION("GOOGLEFINANCE(""NSE:""&amp;A80,""PRICE"")"),740)</f>
        <v>740</v>
      </c>
      <c r="C80" s="13">
        <f ca="1">IFERROR(__xludf.DUMMYFUNCTION("GOOGLEFINANCE(""NSE:""&amp;A80,""PRICEOPEN"")"),730.2)</f>
        <v>730.2</v>
      </c>
      <c r="D80" s="13">
        <f ca="1">IFERROR(__xludf.DUMMYFUNCTION("GOOGLEFINANCE(""NSE:""&amp;A80,""HIGH"")"),746)</f>
        <v>746</v>
      </c>
      <c r="E80" s="13">
        <f ca="1">IFERROR(__xludf.DUMMYFUNCTION("GOOGLEFINANCE(""NSE:""&amp;A80,""LOW"")"),730.2)</f>
        <v>730.2</v>
      </c>
      <c r="F80" s="13">
        <f ca="1">IFERROR(__xludf.DUMMYFUNCTION("GOOGLEFINANCE(""NSE:""&amp;A80,""closeyest"")"),738.9)</f>
        <v>738.9</v>
      </c>
      <c r="G80" s="14">
        <f t="shared" ca="1" si="20"/>
        <v>1.3243243243243183E-2</v>
      </c>
      <c r="H80" s="13">
        <f ca="1">IFERROR(__xludf.DUMMYFUNCTION("GOOGLEFINANCE(""NSE:""&amp;A80,""VOLUME"")"),13044)</f>
        <v>13044</v>
      </c>
      <c r="I80" s="13" t="str">
        <f ca="1">IFERROR(__xludf.DUMMYFUNCTION("AVERAGE(index(GOOGLEFINANCE(""NSE:""&amp;$A80, ""volume"", today()-21, today()-1), , 2))"),"#N/A")</f>
        <v>#N/A</v>
      </c>
      <c r="J80" s="14" t="e">
        <f t="shared" ca="1" si="21"/>
        <v>#VALUE!</v>
      </c>
      <c r="K80" s="13" t="str">
        <f ca="1">IFERROR(__xludf.DUMMYFUNCTION("AVERAGE(index(GOOGLEFINANCE(""NSE:""&amp;$A80, ""close"", today()-6, today()-1), , 2))"),"#N/A")</f>
        <v>#N/A</v>
      </c>
      <c r="L80" s="13" t="str">
        <f ca="1">IFERROR(__xludf.DUMMYFUNCTION("AVERAGE(index(GOOGLEFINANCE(""NSE:""&amp;$A80, ""close"", today()-14, today()-1), , 2))"),"#N/A")</f>
        <v>#N/A</v>
      </c>
      <c r="M80" s="13" t="str">
        <f ca="1">IFERROR(__xludf.DUMMYFUNCTION("AVERAGE(index(GOOGLEFINANCE(""NSE:""&amp;$A80, ""close"", today()-22, today()-1), , 2))"),"#N/A")</f>
        <v>#N/A</v>
      </c>
      <c r="N80" s="13" t="str">
        <f t="shared" ca="1" si="22"/>
        <v>No_Action</v>
      </c>
      <c r="O80" s="13" t="str">
        <f t="shared" ca="1" si="23"/>
        <v>No_Action</v>
      </c>
      <c r="P80" s="13" t="str">
        <f t="shared" ca="1" si="24"/>
        <v>No_Action</v>
      </c>
      <c r="Q80" s="13" t="str">
        <f t="shared" ca="1" si="25"/>
        <v>No_Action</v>
      </c>
      <c r="R80" s="15"/>
      <c r="S80" s="15" t="str">
        <f t="shared" ca="1" si="26"/>
        <v>NoNo</v>
      </c>
      <c r="T80" s="15"/>
      <c r="U80" s="15">
        <f t="shared" ca="1" si="27"/>
        <v>0</v>
      </c>
      <c r="V80" s="15">
        <f t="shared" ca="1" si="28"/>
        <v>0</v>
      </c>
      <c r="W80" s="15" t="str">
        <f t="shared" ca="1" si="29"/>
        <v>No_Action</v>
      </c>
      <c r="X80" s="15"/>
      <c r="Y80" s="15" t="str">
        <f t="shared" ca="1" si="30"/>
        <v>No_Action</v>
      </c>
      <c r="Z80" s="15">
        <f t="shared" ca="1" si="31"/>
        <v>0</v>
      </c>
      <c r="AA80" s="15">
        <f t="shared" ca="1" si="32"/>
        <v>0</v>
      </c>
      <c r="AB80" s="15"/>
      <c r="AC80" s="15" t="str">
        <f t="shared" ca="1" si="33"/>
        <v>NoNo</v>
      </c>
      <c r="AD80" s="15"/>
      <c r="AE80" s="15">
        <f t="shared" ca="1" si="34"/>
        <v>0</v>
      </c>
      <c r="AF80" s="16">
        <f t="shared" ca="1" si="35"/>
        <v>0</v>
      </c>
      <c r="AG80" s="16" t="str">
        <f t="shared" ca="1" si="36"/>
        <v>No_Action</v>
      </c>
      <c r="AH80" s="15"/>
      <c r="AI80" s="15" t="str">
        <f t="shared" ca="1" si="37"/>
        <v>No_Action</v>
      </c>
      <c r="AJ80" s="15">
        <f t="shared" ca="1" si="38"/>
        <v>0</v>
      </c>
      <c r="AK80" s="15">
        <f t="shared" ca="1" si="39"/>
        <v>0</v>
      </c>
    </row>
    <row r="81" spans="1:37" ht="14.5" customHeight="1" x14ac:dyDescent="0.35">
      <c r="A81" s="12" t="s">
        <v>97</v>
      </c>
      <c r="B81" s="13">
        <f ca="1">IFERROR(__xludf.DUMMYFUNCTION("GOOGLEFINANCE(""NSE:""&amp;A81,""PRICE"")"),1762.05)</f>
        <v>1762.05</v>
      </c>
      <c r="C81" s="13">
        <f ca="1">IFERROR(__xludf.DUMMYFUNCTION("GOOGLEFINANCE(""NSE:""&amp;A81,""PRICEOPEN"")"),1762.4)</f>
        <v>1762.4</v>
      </c>
      <c r="D81" s="13">
        <f ca="1">IFERROR(__xludf.DUMMYFUNCTION("GOOGLEFINANCE(""NSE:""&amp;A81,""HIGH"")"),1772.95)</f>
        <v>1772.95</v>
      </c>
      <c r="E81" s="13">
        <f ca="1">IFERROR(__xludf.DUMMYFUNCTION("GOOGLEFINANCE(""NSE:""&amp;A81,""LOW"")"),1730.6)</f>
        <v>1730.6</v>
      </c>
      <c r="F81" s="13">
        <f ca="1">IFERROR(__xludf.DUMMYFUNCTION("GOOGLEFINANCE(""NSE:""&amp;A81,""closeyest"")"),1762.4)</f>
        <v>1762.4</v>
      </c>
      <c r="G81" s="14">
        <f t="shared" ca="1" si="20"/>
        <v>-1.9863227490714589E-4</v>
      </c>
      <c r="H81" s="13">
        <f ca="1">IFERROR(__xludf.DUMMYFUNCTION("GOOGLEFINANCE(""NSE:""&amp;A81,""VOLUME"")"),343856)</f>
        <v>343856</v>
      </c>
      <c r="I81" s="13" t="str">
        <f ca="1">IFERROR(__xludf.DUMMYFUNCTION("AVERAGE(index(GOOGLEFINANCE(""NSE:""&amp;$A81, ""volume"", today()-21, today()-1), , 2))"),"#N/A")</f>
        <v>#N/A</v>
      </c>
      <c r="J81" s="14" t="e">
        <f t="shared" ca="1" si="21"/>
        <v>#VALUE!</v>
      </c>
      <c r="K81" s="13" t="str">
        <f ca="1">IFERROR(__xludf.DUMMYFUNCTION("AVERAGE(index(GOOGLEFINANCE(""NSE:""&amp;$A81, ""close"", today()-6, today()-1), , 2))"),"#N/A")</f>
        <v>#N/A</v>
      </c>
      <c r="L81" s="13" t="str">
        <f ca="1">IFERROR(__xludf.DUMMYFUNCTION("AVERAGE(index(GOOGLEFINANCE(""NSE:""&amp;$A81, ""close"", today()-14, today()-1), , 2))"),"#N/A")</f>
        <v>#N/A</v>
      </c>
      <c r="M81" s="13" t="str">
        <f ca="1">IFERROR(__xludf.DUMMYFUNCTION("AVERAGE(index(GOOGLEFINANCE(""NSE:""&amp;$A81, ""close"", today()-22, today()-1), , 2))"),"#N/A")</f>
        <v>#N/A</v>
      </c>
      <c r="N81" s="13" t="str">
        <f t="shared" ca="1" si="22"/>
        <v>No_Action</v>
      </c>
      <c r="O81" s="13" t="str">
        <f t="shared" ca="1" si="23"/>
        <v>No_Action</v>
      </c>
      <c r="P81" s="13" t="str">
        <f t="shared" ca="1" si="24"/>
        <v>No_Action</v>
      </c>
      <c r="Q81" s="13" t="str">
        <f t="shared" ca="1" si="25"/>
        <v>No_Action</v>
      </c>
      <c r="R81" s="15"/>
      <c r="S81" s="15" t="str">
        <f t="shared" ca="1" si="26"/>
        <v>NoNo</v>
      </c>
      <c r="T81" s="15"/>
      <c r="U81" s="15">
        <f t="shared" ca="1" si="27"/>
        <v>0</v>
      </c>
      <c r="V81" s="15">
        <f t="shared" ca="1" si="28"/>
        <v>0</v>
      </c>
      <c r="W81" s="15" t="str">
        <f t="shared" ca="1" si="29"/>
        <v>No_Action</v>
      </c>
      <c r="X81" s="15"/>
      <c r="Y81" s="15" t="str">
        <f t="shared" ca="1" si="30"/>
        <v>No_Action</v>
      </c>
      <c r="Z81" s="15">
        <f t="shared" ca="1" si="31"/>
        <v>0</v>
      </c>
      <c r="AA81" s="15">
        <f t="shared" ca="1" si="32"/>
        <v>0</v>
      </c>
      <c r="AB81" s="15"/>
      <c r="AC81" s="15" t="str">
        <f t="shared" ca="1" si="33"/>
        <v>NoNo</v>
      </c>
      <c r="AD81" s="15"/>
      <c r="AE81" s="15">
        <f t="shared" ca="1" si="34"/>
        <v>0</v>
      </c>
      <c r="AF81" s="16">
        <f t="shared" ca="1" si="35"/>
        <v>0</v>
      </c>
      <c r="AG81" s="16" t="str">
        <f t="shared" ca="1" si="36"/>
        <v>No_Action</v>
      </c>
      <c r="AH81" s="15"/>
      <c r="AI81" s="15" t="str">
        <f t="shared" ca="1" si="37"/>
        <v>No_Action</v>
      </c>
      <c r="AJ81" s="15">
        <f t="shared" ca="1" si="38"/>
        <v>0</v>
      </c>
      <c r="AK81" s="15">
        <f t="shared" ca="1" si="39"/>
        <v>0</v>
      </c>
    </row>
    <row r="82" spans="1:37" ht="14.5" customHeight="1" x14ac:dyDescent="0.35">
      <c r="A82" s="12" t="s">
        <v>98</v>
      </c>
      <c r="B82" s="13">
        <f ca="1">IFERROR(__xludf.DUMMYFUNCTION("GOOGLEFINANCE(""NSE:""&amp;A82,""PRICE"")"),938)</f>
        <v>938</v>
      </c>
      <c r="C82" s="13">
        <f ca="1">IFERROR(__xludf.DUMMYFUNCTION("GOOGLEFINANCE(""NSE:""&amp;A82,""PRICEOPEN"")"),933)</f>
        <v>933</v>
      </c>
      <c r="D82" s="13">
        <f ca="1">IFERROR(__xludf.DUMMYFUNCTION("GOOGLEFINANCE(""NSE:""&amp;A82,""HIGH"")"),942)</f>
        <v>942</v>
      </c>
      <c r="E82" s="13">
        <f ca="1">IFERROR(__xludf.DUMMYFUNCTION("GOOGLEFINANCE(""NSE:""&amp;A82,""LOW"")"),926.55)</f>
        <v>926.55</v>
      </c>
      <c r="F82" s="13">
        <f ca="1">IFERROR(__xludf.DUMMYFUNCTION("GOOGLEFINANCE(""NSE:""&amp;A82,""closeyest"")"),933.3)</f>
        <v>933.3</v>
      </c>
      <c r="G82" s="14">
        <f t="shared" ca="1" si="20"/>
        <v>5.3304904051172707E-3</v>
      </c>
      <c r="H82" s="13">
        <f ca="1">IFERROR(__xludf.DUMMYFUNCTION("GOOGLEFINANCE(""NSE:""&amp;A82,""VOLUME"")"),152830)</f>
        <v>152830</v>
      </c>
      <c r="I82" s="13" t="str">
        <f ca="1">IFERROR(__xludf.DUMMYFUNCTION("AVERAGE(index(GOOGLEFINANCE(""NSE:""&amp;$A82, ""volume"", today()-21, today()-1), , 2))"),"#N/A")</f>
        <v>#N/A</v>
      </c>
      <c r="J82" s="14" t="e">
        <f t="shared" ca="1" si="21"/>
        <v>#VALUE!</v>
      </c>
      <c r="K82" s="13" t="str">
        <f ca="1">IFERROR(__xludf.DUMMYFUNCTION("AVERAGE(index(GOOGLEFINANCE(""NSE:""&amp;$A82, ""close"", today()-6, today()-1), , 2))"),"#N/A")</f>
        <v>#N/A</v>
      </c>
      <c r="L82" s="13" t="str">
        <f ca="1">IFERROR(__xludf.DUMMYFUNCTION("AVERAGE(index(GOOGLEFINANCE(""NSE:""&amp;$A82, ""close"", today()-14, today()-1), , 2))"),"#N/A")</f>
        <v>#N/A</v>
      </c>
      <c r="M82" s="13" t="str">
        <f ca="1">IFERROR(__xludf.DUMMYFUNCTION("AVERAGE(index(GOOGLEFINANCE(""NSE:""&amp;$A82, ""close"", today()-22, today()-1), , 2))"),"#N/A")</f>
        <v>#N/A</v>
      </c>
      <c r="N82" s="13" t="str">
        <f t="shared" ca="1" si="22"/>
        <v>No_Action</v>
      </c>
      <c r="O82" s="13" t="str">
        <f t="shared" ca="1" si="23"/>
        <v>No_Action</v>
      </c>
      <c r="P82" s="13" t="str">
        <f t="shared" ca="1" si="24"/>
        <v>No_Action</v>
      </c>
      <c r="Q82" s="13" t="str">
        <f t="shared" ca="1" si="25"/>
        <v>No_Action</v>
      </c>
      <c r="R82" s="15"/>
      <c r="S82" s="15" t="str">
        <f t="shared" ca="1" si="26"/>
        <v>NoNo</v>
      </c>
      <c r="T82" s="15"/>
      <c r="U82" s="15">
        <f t="shared" ca="1" si="27"/>
        <v>0</v>
      </c>
      <c r="V82" s="15">
        <f t="shared" ca="1" si="28"/>
        <v>0</v>
      </c>
      <c r="W82" s="15" t="str">
        <f t="shared" ca="1" si="29"/>
        <v>No_Action</v>
      </c>
      <c r="X82" s="15"/>
      <c r="Y82" s="15" t="str">
        <f t="shared" ca="1" si="30"/>
        <v>No_Action</v>
      </c>
      <c r="Z82" s="15">
        <f t="shared" ca="1" si="31"/>
        <v>0</v>
      </c>
      <c r="AA82" s="15">
        <f t="shared" ca="1" si="32"/>
        <v>0</v>
      </c>
      <c r="AB82" s="15"/>
      <c r="AC82" s="15" t="str">
        <f t="shared" ca="1" si="33"/>
        <v>NoNo</v>
      </c>
      <c r="AD82" s="15"/>
      <c r="AE82" s="15">
        <f t="shared" ca="1" si="34"/>
        <v>0</v>
      </c>
      <c r="AF82" s="16">
        <f t="shared" ca="1" si="35"/>
        <v>0</v>
      </c>
      <c r="AG82" s="16" t="str">
        <f t="shared" ca="1" si="36"/>
        <v>No_Action</v>
      </c>
      <c r="AH82" s="15"/>
      <c r="AI82" s="15" t="str">
        <f t="shared" ca="1" si="37"/>
        <v>No_Action</v>
      </c>
      <c r="AJ82" s="15">
        <f t="shared" ca="1" si="38"/>
        <v>0</v>
      </c>
      <c r="AK82" s="15">
        <f t="shared" ca="1" si="39"/>
        <v>0</v>
      </c>
    </row>
    <row r="83" spans="1:37" ht="14.5" customHeight="1" x14ac:dyDescent="0.35">
      <c r="A83" s="12" t="s">
        <v>99</v>
      </c>
      <c r="B83" s="13">
        <f ca="1">IFERROR(__xludf.DUMMYFUNCTION("GOOGLEFINANCE(""NSE:""&amp;A83,""PRICE"")"),414.25)</f>
        <v>414.25</v>
      </c>
      <c r="C83" s="13">
        <f ca="1">IFERROR(__xludf.DUMMYFUNCTION("GOOGLEFINANCE(""NSE:""&amp;A83,""PRICEOPEN"")"),406.5)</f>
        <v>406.5</v>
      </c>
      <c r="D83" s="13">
        <f ca="1">IFERROR(__xludf.DUMMYFUNCTION("GOOGLEFINANCE(""NSE:""&amp;A83,""HIGH"")"),418)</f>
        <v>418</v>
      </c>
      <c r="E83" s="13">
        <f ca="1">IFERROR(__xludf.DUMMYFUNCTION("GOOGLEFINANCE(""NSE:""&amp;A83,""LOW"")"),405.7)</f>
        <v>405.7</v>
      </c>
      <c r="F83" s="13">
        <f ca="1">IFERROR(__xludf.DUMMYFUNCTION("GOOGLEFINANCE(""NSE:""&amp;A83,""closeyest"")"),406.2)</f>
        <v>406.2</v>
      </c>
      <c r="G83" s="14">
        <f t="shared" ca="1" si="20"/>
        <v>1.8708509354254676E-2</v>
      </c>
      <c r="H83" s="13">
        <f ca="1">IFERROR(__xludf.DUMMYFUNCTION("GOOGLEFINANCE(""NSE:""&amp;A83,""VOLUME"")"),1575373)</f>
        <v>1575373</v>
      </c>
      <c r="I83" s="13" t="str">
        <f ca="1">IFERROR(__xludf.DUMMYFUNCTION("AVERAGE(index(GOOGLEFINANCE(""NSE:""&amp;$A83, ""volume"", today()-21, today()-1), , 2))"),"#N/A")</f>
        <v>#N/A</v>
      </c>
      <c r="J83" s="14" t="e">
        <f t="shared" ca="1" si="21"/>
        <v>#VALUE!</v>
      </c>
      <c r="K83" s="13" t="str">
        <f ca="1">IFERROR(__xludf.DUMMYFUNCTION("AVERAGE(index(GOOGLEFINANCE(""NSE:""&amp;$A83, ""close"", today()-6, today()-1), , 2))"),"#N/A")</f>
        <v>#N/A</v>
      </c>
      <c r="L83" s="13" t="str">
        <f ca="1">IFERROR(__xludf.DUMMYFUNCTION("AVERAGE(index(GOOGLEFINANCE(""NSE:""&amp;$A83, ""close"", today()-14, today()-1), , 2))"),"#N/A")</f>
        <v>#N/A</v>
      </c>
      <c r="M83" s="13" t="str">
        <f ca="1">IFERROR(__xludf.DUMMYFUNCTION("AVERAGE(index(GOOGLEFINANCE(""NSE:""&amp;$A83, ""close"", today()-22, today()-1), , 2))"),"#N/A")</f>
        <v>#N/A</v>
      </c>
      <c r="N83" s="13" t="str">
        <f t="shared" ca="1" si="22"/>
        <v>No_Action</v>
      </c>
      <c r="O83" s="13" t="str">
        <f t="shared" ca="1" si="23"/>
        <v>No_Action</v>
      </c>
      <c r="P83" s="13" t="str">
        <f t="shared" ca="1" si="24"/>
        <v>No_Action</v>
      </c>
      <c r="Q83" s="13" t="str">
        <f t="shared" ca="1" si="25"/>
        <v>No_Action</v>
      </c>
      <c r="R83" s="15"/>
      <c r="S83" s="15" t="str">
        <f t="shared" ca="1" si="26"/>
        <v>NoNo</v>
      </c>
      <c r="T83" s="15"/>
      <c r="U83" s="15">
        <f t="shared" ca="1" si="27"/>
        <v>0</v>
      </c>
      <c r="V83" s="15">
        <f t="shared" ca="1" si="28"/>
        <v>0</v>
      </c>
      <c r="W83" s="15" t="str">
        <f t="shared" ca="1" si="29"/>
        <v>No_Action</v>
      </c>
      <c r="X83" s="15"/>
      <c r="Y83" s="15" t="str">
        <f t="shared" ca="1" si="30"/>
        <v>No_Action</v>
      </c>
      <c r="Z83" s="15">
        <f t="shared" ca="1" si="31"/>
        <v>0</v>
      </c>
      <c r="AA83" s="15">
        <f t="shared" ca="1" si="32"/>
        <v>0</v>
      </c>
      <c r="AB83" s="15"/>
      <c r="AC83" s="15" t="str">
        <f t="shared" ca="1" si="33"/>
        <v>NoNo</v>
      </c>
      <c r="AD83" s="15"/>
      <c r="AE83" s="15">
        <f t="shared" ca="1" si="34"/>
        <v>0</v>
      </c>
      <c r="AF83" s="16">
        <f t="shared" ca="1" si="35"/>
        <v>0</v>
      </c>
      <c r="AG83" s="16" t="str">
        <f t="shared" ca="1" si="36"/>
        <v>No_Action</v>
      </c>
      <c r="AH83" s="15"/>
      <c r="AI83" s="15" t="str">
        <f t="shared" ca="1" si="37"/>
        <v>No_Action</v>
      </c>
      <c r="AJ83" s="15">
        <f t="shared" ca="1" si="38"/>
        <v>0</v>
      </c>
      <c r="AK83" s="15">
        <f t="shared" ca="1" si="39"/>
        <v>0</v>
      </c>
    </row>
    <row r="84" spans="1:37" ht="14.5" customHeight="1" x14ac:dyDescent="0.35">
      <c r="A84" s="12" t="s">
        <v>100</v>
      </c>
      <c r="B84" s="13">
        <f ca="1">IFERROR(__xludf.DUMMYFUNCTION("GOOGLEFINANCE(""NSE:""&amp;A84,""PRICE"")"),3501)</f>
        <v>3501</v>
      </c>
      <c r="C84" s="13">
        <f ca="1">IFERROR(__xludf.DUMMYFUNCTION("GOOGLEFINANCE(""NSE:""&amp;A84,""PRICEOPEN"")"),3469.95)</f>
        <v>3469.95</v>
      </c>
      <c r="D84" s="13">
        <f ca="1">IFERROR(__xludf.DUMMYFUNCTION("GOOGLEFINANCE(""NSE:""&amp;A84,""HIGH"")"),3518)</f>
        <v>3518</v>
      </c>
      <c r="E84" s="13">
        <f ca="1">IFERROR(__xludf.DUMMYFUNCTION("GOOGLEFINANCE(""NSE:""&amp;A84,""LOW"")"),3460)</f>
        <v>3460</v>
      </c>
      <c r="F84" s="13">
        <f ca="1">IFERROR(__xludf.DUMMYFUNCTION("GOOGLEFINANCE(""NSE:""&amp;A84,""closeyest"")"),3465)</f>
        <v>3465</v>
      </c>
      <c r="G84" s="14">
        <f t="shared" ca="1" si="20"/>
        <v>8.868894601542469E-3</v>
      </c>
      <c r="H84" s="13">
        <f ca="1">IFERROR(__xludf.DUMMYFUNCTION("GOOGLEFINANCE(""NSE:""&amp;A84,""VOLUME"")"),185203)</f>
        <v>185203</v>
      </c>
      <c r="I84" s="13" t="str">
        <f ca="1">IFERROR(__xludf.DUMMYFUNCTION("AVERAGE(index(GOOGLEFINANCE(""NSE:""&amp;$A84, ""volume"", today()-21, today()-1), , 2))"),"#N/A")</f>
        <v>#N/A</v>
      </c>
      <c r="J84" s="14" t="e">
        <f t="shared" ca="1" si="21"/>
        <v>#VALUE!</v>
      </c>
      <c r="K84" s="13" t="str">
        <f ca="1">IFERROR(__xludf.DUMMYFUNCTION("AVERAGE(index(GOOGLEFINANCE(""NSE:""&amp;$A84, ""close"", today()-6, today()-1), , 2))"),"#N/A")</f>
        <v>#N/A</v>
      </c>
      <c r="L84" s="13" t="str">
        <f ca="1">IFERROR(__xludf.DUMMYFUNCTION("AVERAGE(index(GOOGLEFINANCE(""NSE:""&amp;$A84, ""close"", today()-14, today()-1), , 2))"),"#N/A")</f>
        <v>#N/A</v>
      </c>
      <c r="M84" s="13" t="str">
        <f ca="1">IFERROR(__xludf.DUMMYFUNCTION("AVERAGE(index(GOOGLEFINANCE(""NSE:""&amp;$A84, ""close"", today()-22, today()-1), , 2))"),"#N/A")</f>
        <v>#N/A</v>
      </c>
      <c r="N84" s="13" t="str">
        <f t="shared" ca="1" si="22"/>
        <v>No_Action</v>
      </c>
      <c r="O84" s="13" t="str">
        <f t="shared" ca="1" si="23"/>
        <v>No_Action</v>
      </c>
      <c r="P84" s="13" t="str">
        <f t="shared" ca="1" si="24"/>
        <v>No_Action</v>
      </c>
      <c r="Q84" s="13" t="str">
        <f t="shared" ca="1" si="25"/>
        <v>No_Action</v>
      </c>
      <c r="R84" s="15"/>
      <c r="S84" s="15" t="str">
        <f t="shared" ca="1" si="26"/>
        <v>NoNo</v>
      </c>
      <c r="T84" s="15"/>
      <c r="U84" s="15">
        <f t="shared" ca="1" si="27"/>
        <v>0</v>
      </c>
      <c r="V84" s="15">
        <f t="shared" ca="1" si="28"/>
        <v>0</v>
      </c>
      <c r="W84" s="15" t="str">
        <f t="shared" ca="1" si="29"/>
        <v>No_Action</v>
      </c>
      <c r="X84" s="15"/>
      <c r="Y84" s="15" t="str">
        <f t="shared" ca="1" si="30"/>
        <v>No_Action</v>
      </c>
      <c r="Z84" s="15">
        <f t="shared" ca="1" si="31"/>
        <v>0</v>
      </c>
      <c r="AA84" s="15">
        <f t="shared" ca="1" si="32"/>
        <v>0</v>
      </c>
      <c r="AB84" s="15"/>
      <c r="AC84" s="15" t="str">
        <f t="shared" ca="1" si="33"/>
        <v>NoNo</v>
      </c>
      <c r="AD84" s="15"/>
      <c r="AE84" s="15">
        <f t="shared" ca="1" si="34"/>
        <v>0</v>
      </c>
      <c r="AF84" s="16">
        <f t="shared" ca="1" si="35"/>
        <v>0</v>
      </c>
      <c r="AG84" s="16" t="str">
        <f t="shared" ca="1" si="36"/>
        <v>No_Action</v>
      </c>
      <c r="AH84" s="15"/>
      <c r="AI84" s="15" t="str">
        <f t="shared" ca="1" si="37"/>
        <v>No_Action</v>
      </c>
      <c r="AJ84" s="15">
        <f t="shared" ca="1" si="38"/>
        <v>0</v>
      </c>
      <c r="AK84" s="15">
        <f t="shared" ca="1" si="39"/>
        <v>0</v>
      </c>
    </row>
    <row r="85" spans="1:37" ht="14.5" customHeight="1" x14ac:dyDescent="0.35">
      <c r="A85" s="12" t="s">
        <v>101</v>
      </c>
      <c r="B85" s="13">
        <f ca="1">IFERROR(__xludf.DUMMYFUNCTION("GOOGLEFINANCE(""NSE:""&amp;A85,""PRICE"")"),323.4)</f>
        <v>323.39999999999998</v>
      </c>
      <c r="C85" s="13">
        <f ca="1">IFERROR(__xludf.DUMMYFUNCTION("GOOGLEFINANCE(""NSE:""&amp;A85,""PRICEOPEN"")"),331.5)</f>
        <v>331.5</v>
      </c>
      <c r="D85" s="13">
        <f ca="1">IFERROR(__xludf.DUMMYFUNCTION("GOOGLEFINANCE(""NSE:""&amp;A85,""HIGH"")"),331.6)</f>
        <v>331.6</v>
      </c>
      <c r="E85" s="13">
        <f ca="1">IFERROR(__xludf.DUMMYFUNCTION("GOOGLEFINANCE(""NSE:""&amp;A85,""LOW"")"),321.6)</f>
        <v>321.60000000000002</v>
      </c>
      <c r="F85" s="13">
        <f ca="1">IFERROR(__xludf.DUMMYFUNCTION("GOOGLEFINANCE(""NSE:""&amp;A85,""closeyest"")"),331.6)</f>
        <v>331.6</v>
      </c>
      <c r="G85" s="14">
        <f t="shared" ca="1" si="20"/>
        <v>-2.5046382189239404E-2</v>
      </c>
      <c r="H85" s="13">
        <f ca="1">IFERROR(__xludf.DUMMYFUNCTION("GOOGLEFINANCE(""NSE:""&amp;A85,""VOLUME"")"),55341)</f>
        <v>55341</v>
      </c>
      <c r="I85" s="13" t="str">
        <f ca="1">IFERROR(__xludf.DUMMYFUNCTION("AVERAGE(index(GOOGLEFINANCE(""NSE:""&amp;$A85, ""volume"", today()-21, today()-1), , 2))"),"#N/A")</f>
        <v>#N/A</v>
      </c>
      <c r="J85" s="14" t="e">
        <f t="shared" ca="1" si="21"/>
        <v>#VALUE!</v>
      </c>
      <c r="K85" s="13" t="str">
        <f ca="1">IFERROR(__xludf.DUMMYFUNCTION("AVERAGE(index(GOOGLEFINANCE(""NSE:""&amp;$A85, ""close"", today()-6, today()-1), , 2))"),"#N/A")</f>
        <v>#N/A</v>
      </c>
      <c r="L85" s="13" t="str">
        <f ca="1">IFERROR(__xludf.DUMMYFUNCTION("AVERAGE(index(GOOGLEFINANCE(""NSE:""&amp;$A85, ""close"", today()-14, today()-1), , 2))"),"#N/A")</f>
        <v>#N/A</v>
      </c>
      <c r="M85" s="13" t="str">
        <f ca="1">IFERROR(__xludf.DUMMYFUNCTION("AVERAGE(index(GOOGLEFINANCE(""NSE:""&amp;$A85, ""close"", today()-22, today()-1), , 2))"),"#N/A")</f>
        <v>#N/A</v>
      </c>
      <c r="N85" s="13" t="str">
        <f t="shared" ca="1" si="22"/>
        <v>No_Action</v>
      </c>
      <c r="O85" s="13" t="str">
        <f t="shared" ca="1" si="23"/>
        <v>No_Action</v>
      </c>
      <c r="P85" s="13" t="str">
        <f t="shared" ca="1" si="24"/>
        <v>No_Action</v>
      </c>
      <c r="Q85" s="13" t="str">
        <f t="shared" ca="1" si="25"/>
        <v>No_Action</v>
      </c>
      <c r="R85" s="15"/>
      <c r="S85" s="15" t="str">
        <f t="shared" ca="1" si="26"/>
        <v>NoNo</v>
      </c>
      <c r="T85" s="15"/>
      <c r="U85" s="15">
        <f t="shared" ca="1" si="27"/>
        <v>0</v>
      </c>
      <c r="V85" s="15">
        <f t="shared" ca="1" si="28"/>
        <v>0</v>
      </c>
      <c r="W85" s="15" t="str">
        <f t="shared" ca="1" si="29"/>
        <v>No_Action</v>
      </c>
      <c r="X85" s="15"/>
      <c r="Y85" s="15" t="str">
        <f t="shared" ca="1" si="30"/>
        <v>No_Action</v>
      </c>
      <c r="Z85" s="15">
        <f t="shared" ca="1" si="31"/>
        <v>0</v>
      </c>
      <c r="AA85" s="15">
        <f t="shared" ca="1" si="32"/>
        <v>0</v>
      </c>
      <c r="AB85" s="15"/>
      <c r="AC85" s="15" t="str">
        <f t="shared" ca="1" si="33"/>
        <v>NoNo</v>
      </c>
      <c r="AD85" s="15"/>
      <c r="AE85" s="15">
        <f t="shared" ca="1" si="34"/>
        <v>0</v>
      </c>
      <c r="AF85" s="16">
        <f t="shared" ca="1" si="35"/>
        <v>0</v>
      </c>
      <c r="AG85" s="16" t="str">
        <f t="shared" ca="1" si="36"/>
        <v>No_Action</v>
      </c>
      <c r="AH85" s="15"/>
      <c r="AI85" s="15" t="str">
        <f t="shared" ca="1" si="37"/>
        <v>No_Action</v>
      </c>
      <c r="AJ85" s="15">
        <f t="shared" ca="1" si="38"/>
        <v>0</v>
      </c>
      <c r="AK85" s="15">
        <f t="shared" ca="1" si="39"/>
        <v>0</v>
      </c>
    </row>
    <row r="86" spans="1:37" ht="14.5" customHeight="1" x14ac:dyDescent="0.35">
      <c r="A86" s="12" t="s">
        <v>102</v>
      </c>
      <c r="B86" s="13">
        <f ca="1">IFERROR(__xludf.DUMMYFUNCTION("GOOGLEFINANCE(""NSE:""&amp;A86,""PRICE"")"),507)</f>
        <v>507</v>
      </c>
      <c r="C86" s="13">
        <f ca="1">IFERROR(__xludf.DUMMYFUNCTION("GOOGLEFINANCE(""NSE:""&amp;A86,""PRICEOPEN"")"),519)</f>
        <v>519</v>
      </c>
      <c r="D86" s="13">
        <f ca="1">IFERROR(__xludf.DUMMYFUNCTION("GOOGLEFINANCE(""NSE:""&amp;A86,""HIGH"")"),520.75)</f>
        <v>520.75</v>
      </c>
      <c r="E86" s="13">
        <f ca="1">IFERROR(__xludf.DUMMYFUNCTION("GOOGLEFINANCE(""NSE:""&amp;A86,""LOW"")"),503.2)</f>
        <v>503.2</v>
      </c>
      <c r="F86" s="13">
        <f ca="1">IFERROR(__xludf.DUMMYFUNCTION("GOOGLEFINANCE(""NSE:""&amp;A86,""closeyest"")"),523.8)</f>
        <v>523.79999999999995</v>
      </c>
      <c r="G86" s="14">
        <f t="shared" ca="1" si="20"/>
        <v>-2.3668639053254437E-2</v>
      </c>
      <c r="H86" s="13">
        <f ca="1">IFERROR(__xludf.DUMMYFUNCTION("GOOGLEFINANCE(""NSE:""&amp;A86,""VOLUME"")"),6086175)</f>
        <v>6086175</v>
      </c>
      <c r="I86" s="13" t="str">
        <f ca="1">IFERROR(__xludf.DUMMYFUNCTION("AVERAGE(index(GOOGLEFINANCE(""NSE:""&amp;$A86, ""volume"", today()-21, today()-1), , 2))"),"#N/A")</f>
        <v>#N/A</v>
      </c>
      <c r="J86" s="14" t="e">
        <f t="shared" ca="1" si="21"/>
        <v>#VALUE!</v>
      </c>
      <c r="K86" s="13" t="str">
        <f ca="1">IFERROR(__xludf.DUMMYFUNCTION("AVERAGE(index(GOOGLEFINANCE(""NSE:""&amp;$A86, ""close"", today()-6, today()-1), , 2))"),"#N/A")</f>
        <v>#N/A</v>
      </c>
      <c r="L86" s="13" t="str">
        <f ca="1">IFERROR(__xludf.DUMMYFUNCTION("AVERAGE(index(GOOGLEFINANCE(""NSE:""&amp;$A86, ""close"", today()-14, today()-1), , 2))"),"#N/A")</f>
        <v>#N/A</v>
      </c>
      <c r="M86" s="13" t="str">
        <f ca="1">IFERROR(__xludf.DUMMYFUNCTION("AVERAGE(index(GOOGLEFINANCE(""NSE:""&amp;$A86, ""close"", today()-22, today()-1), , 2))"),"#N/A")</f>
        <v>#N/A</v>
      </c>
      <c r="N86" s="13" t="str">
        <f t="shared" ca="1" si="22"/>
        <v>No_Action</v>
      </c>
      <c r="O86" s="13" t="str">
        <f t="shared" ca="1" si="23"/>
        <v>No_Action</v>
      </c>
      <c r="P86" s="13" t="str">
        <f t="shared" ca="1" si="24"/>
        <v>No_Action</v>
      </c>
      <c r="Q86" s="13" t="str">
        <f t="shared" ca="1" si="25"/>
        <v>No_Action</v>
      </c>
      <c r="R86" s="15"/>
      <c r="S86" s="15" t="str">
        <f t="shared" ca="1" si="26"/>
        <v>NoNo</v>
      </c>
      <c r="T86" s="15"/>
      <c r="U86" s="15">
        <f t="shared" ca="1" si="27"/>
        <v>0</v>
      </c>
      <c r="V86" s="15">
        <f t="shared" ca="1" si="28"/>
        <v>0</v>
      </c>
      <c r="W86" s="15" t="str">
        <f t="shared" ca="1" si="29"/>
        <v>No_Action</v>
      </c>
      <c r="X86" s="15"/>
      <c r="Y86" s="15" t="str">
        <f t="shared" ca="1" si="30"/>
        <v>No_Action</v>
      </c>
      <c r="Z86" s="15">
        <f t="shared" ca="1" si="31"/>
        <v>0</v>
      </c>
      <c r="AA86" s="15">
        <f t="shared" ca="1" si="32"/>
        <v>0</v>
      </c>
      <c r="AB86" s="15"/>
      <c r="AC86" s="15" t="str">
        <f t="shared" ca="1" si="33"/>
        <v>NoNo</v>
      </c>
      <c r="AD86" s="15"/>
      <c r="AE86" s="15">
        <f t="shared" ca="1" si="34"/>
        <v>0</v>
      </c>
      <c r="AF86" s="16">
        <f t="shared" ca="1" si="35"/>
        <v>0</v>
      </c>
      <c r="AG86" s="16" t="str">
        <f t="shared" ca="1" si="36"/>
        <v>No_Action</v>
      </c>
      <c r="AH86" s="15"/>
      <c r="AI86" s="15" t="str">
        <f t="shared" ca="1" si="37"/>
        <v>No_Action</v>
      </c>
      <c r="AJ86" s="15">
        <f t="shared" ca="1" si="38"/>
        <v>0</v>
      </c>
      <c r="AK86" s="15">
        <f t="shared" ca="1" si="39"/>
        <v>0</v>
      </c>
    </row>
    <row r="87" spans="1:37" ht="14.5" customHeight="1" x14ac:dyDescent="0.35">
      <c r="A87" s="12" t="s">
        <v>103</v>
      </c>
      <c r="B87" s="13">
        <f ca="1">IFERROR(__xludf.DUMMYFUNCTION("GOOGLEFINANCE(""NSE:""&amp;A87,""PRICE"")"),2682.5)</f>
        <v>2682.5</v>
      </c>
      <c r="C87" s="13">
        <f ca="1">IFERROR(__xludf.DUMMYFUNCTION("GOOGLEFINANCE(""NSE:""&amp;A87,""PRICEOPEN"")"),2714)</f>
        <v>2714</v>
      </c>
      <c r="D87" s="13">
        <f ca="1">IFERROR(__xludf.DUMMYFUNCTION("GOOGLEFINANCE(""NSE:""&amp;A87,""HIGH"")"),2715.45)</f>
        <v>2715.45</v>
      </c>
      <c r="E87" s="13">
        <f ca="1">IFERROR(__xludf.DUMMYFUNCTION("GOOGLEFINANCE(""NSE:""&amp;A87,""LOW"")"),2661.35)</f>
        <v>2661.35</v>
      </c>
      <c r="F87" s="13">
        <f ca="1">IFERROR(__xludf.DUMMYFUNCTION("GOOGLEFINANCE(""NSE:""&amp;A87,""closeyest"")"),2701.8)</f>
        <v>2701.8</v>
      </c>
      <c r="G87" s="14">
        <f t="shared" ca="1" si="20"/>
        <v>-1.174277726001864E-2</v>
      </c>
      <c r="H87" s="13">
        <f ca="1">IFERROR(__xludf.DUMMYFUNCTION("GOOGLEFINANCE(""NSE:""&amp;A87,""VOLUME"")"),111268)</f>
        <v>111268</v>
      </c>
      <c r="I87" s="13" t="str">
        <f ca="1">IFERROR(__xludf.DUMMYFUNCTION("AVERAGE(index(GOOGLEFINANCE(""NSE:""&amp;$A87, ""volume"", today()-21, today()-1), , 2))"),"#N/A")</f>
        <v>#N/A</v>
      </c>
      <c r="J87" s="14" t="e">
        <f t="shared" ca="1" si="21"/>
        <v>#VALUE!</v>
      </c>
      <c r="K87" s="13" t="str">
        <f ca="1">IFERROR(__xludf.DUMMYFUNCTION("AVERAGE(index(GOOGLEFINANCE(""NSE:""&amp;$A87, ""close"", today()-6, today()-1), , 2))"),"#N/A")</f>
        <v>#N/A</v>
      </c>
      <c r="L87" s="13" t="str">
        <f ca="1">IFERROR(__xludf.DUMMYFUNCTION("AVERAGE(index(GOOGLEFINANCE(""NSE:""&amp;$A87, ""close"", today()-14, today()-1), , 2))"),"#N/A")</f>
        <v>#N/A</v>
      </c>
      <c r="M87" s="13" t="str">
        <f ca="1">IFERROR(__xludf.DUMMYFUNCTION("AVERAGE(index(GOOGLEFINANCE(""NSE:""&amp;$A87, ""close"", today()-22, today()-1), , 2))"),"#N/A")</f>
        <v>#N/A</v>
      </c>
      <c r="N87" s="13" t="str">
        <f t="shared" ca="1" si="22"/>
        <v>No_Action</v>
      </c>
      <c r="O87" s="13" t="str">
        <f t="shared" ca="1" si="23"/>
        <v>No_Action</v>
      </c>
      <c r="P87" s="13" t="str">
        <f t="shared" ca="1" si="24"/>
        <v>No_Action</v>
      </c>
      <c r="Q87" s="13" t="str">
        <f t="shared" ca="1" si="25"/>
        <v>No_Action</v>
      </c>
      <c r="R87" s="15"/>
      <c r="S87" s="15" t="str">
        <f t="shared" ca="1" si="26"/>
        <v>NoNo</v>
      </c>
      <c r="T87" s="15"/>
      <c r="U87" s="15">
        <f t="shared" ca="1" si="27"/>
        <v>0</v>
      </c>
      <c r="V87" s="15">
        <f t="shared" ca="1" si="28"/>
        <v>0</v>
      </c>
      <c r="W87" s="15" t="str">
        <f t="shared" ca="1" si="29"/>
        <v>No_Action</v>
      </c>
      <c r="X87" s="15"/>
      <c r="Y87" s="15" t="str">
        <f t="shared" ca="1" si="30"/>
        <v>No_Action</v>
      </c>
      <c r="Z87" s="15">
        <f t="shared" ca="1" si="31"/>
        <v>0</v>
      </c>
      <c r="AA87" s="15">
        <f t="shared" ca="1" si="32"/>
        <v>0</v>
      </c>
      <c r="AB87" s="15"/>
      <c r="AC87" s="15" t="str">
        <f t="shared" ca="1" si="33"/>
        <v>NoNo</v>
      </c>
      <c r="AD87" s="15"/>
      <c r="AE87" s="15">
        <f t="shared" ca="1" si="34"/>
        <v>0</v>
      </c>
      <c r="AF87" s="16">
        <f t="shared" ca="1" si="35"/>
        <v>0</v>
      </c>
      <c r="AG87" s="16" t="str">
        <f t="shared" ca="1" si="36"/>
        <v>No_Action</v>
      </c>
      <c r="AH87" s="15"/>
      <c r="AI87" s="15" t="str">
        <f t="shared" ca="1" si="37"/>
        <v>No_Action</v>
      </c>
      <c r="AJ87" s="15">
        <f t="shared" ca="1" si="38"/>
        <v>0</v>
      </c>
      <c r="AK87" s="15">
        <f t="shared" ca="1" si="39"/>
        <v>0</v>
      </c>
    </row>
    <row r="88" spans="1:37" ht="14.5" customHeight="1" x14ac:dyDescent="0.35">
      <c r="A88" s="12" t="s">
        <v>104</v>
      </c>
      <c r="B88" s="13">
        <f ca="1">IFERROR(__xludf.DUMMYFUNCTION("GOOGLEFINANCE(""NSE:""&amp;A88,""PRICE"")"),123.9)</f>
        <v>123.9</v>
      </c>
      <c r="C88" s="13">
        <f ca="1">IFERROR(__xludf.DUMMYFUNCTION("GOOGLEFINANCE(""NSE:""&amp;A88,""PRICEOPEN"")"),125)</f>
        <v>125</v>
      </c>
      <c r="D88" s="13">
        <f ca="1">IFERROR(__xludf.DUMMYFUNCTION("GOOGLEFINANCE(""NSE:""&amp;A88,""HIGH"")"),125.42)</f>
        <v>125.42</v>
      </c>
      <c r="E88" s="13">
        <f ca="1">IFERROR(__xludf.DUMMYFUNCTION("GOOGLEFINANCE(""NSE:""&amp;A88,""LOW"")"),123.4)</f>
        <v>123.4</v>
      </c>
      <c r="F88" s="13">
        <f ca="1">IFERROR(__xludf.DUMMYFUNCTION("GOOGLEFINANCE(""NSE:""&amp;A88,""closeyest"")"),122.65)</f>
        <v>122.65</v>
      </c>
      <c r="G88" s="14">
        <f t="shared" ca="1" si="20"/>
        <v>-8.8781275221952727E-3</v>
      </c>
      <c r="H88" s="13">
        <f ca="1">IFERROR(__xludf.DUMMYFUNCTION("GOOGLEFINANCE(""NSE:""&amp;A88,""VOLUME"")"),2877926)</f>
        <v>2877926</v>
      </c>
      <c r="I88" s="13" t="str">
        <f ca="1">IFERROR(__xludf.DUMMYFUNCTION("AVERAGE(index(GOOGLEFINANCE(""NSE:""&amp;$A88, ""volume"", today()-21, today()-1), , 2))"),"#N/A")</f>
        <v>#N/A</v>
      </c>
      <c r="J88" s="14" t="e">
        <f t="shared" ca="1" si="21"/>
        <v>#VALUE!</v>
      </c>
      <c r="K88" s="13" t="str">
        <f ca="1">IFERROR(__xludf.DUMMYFUNCTION("AVERAGE(index(GOOGLEFINANCE(""NSE:""&amp;$A88, ""close"", today()-6, today()-1), , 2))"),"#N/A")</f>
        <v>#N/A</v>
      </c>
      <c r="L88" s="13" t="str">
        <f ca="1">IFERROR(__xludf.DUMMYFUNCTION("AVERAGE(index(GOOGLEFINANCE(""NSE:""&amp;$A88, ""close"", today()-14, today()-1), , 2))"),"#N/A")</f>
        <v>#N/A</v>
      </c>
      <c r="M88" s="13" t="str">
        <f ca="1">IFERROR(__xludf.DUMMYFUNCTION("AVERAGE(index(GOOGLEFINANCE(""NSE:""&amp;$A88, ""close"", today()-22, today()-1), , 2))"),"#N/A")</f>
        <v>#N/A</v>
      </c>
      <c r="N88" s="13" t="str">
        <f t="shared" ca="1" si="22"/>
        <v>No_Action</v>
      </c>
      <c r="O88" s="13" t="str">
        <f t="shared" ca="1" si="23"/>
        <v>No_Action</v>
      </c>
      <c r="P88" s="13" t="str">
        <f t="shared" ca="1" si="24"/>
        <v>No_Action</v>
      </c>
      <c r="Q88" s="13" t="str">
        <f t="shared" ca="1" si="25"/>
        <v>No_Action</v>
      </c>
      <c r="R88" s="15"/>
      <c r="S88" s="15" t="str">
        <f t="shared" ca="1" si="26"/>
        <v>NoNo</v>
      </c>
      <c r="T88" s="15"/>
      <c r="U88" s="15">
        <f t="shared" ca="1" si="27"/>
        <v>0</v>
      </c>
      <c r="V88" s="15">
        <f t="shared" ca="1" si="28"/>
        <v>0</v>
      </c>
      <c r="W88" s="15" t="str">
        <f t="shared" ca="1" si="29"/>
        <v>No_Action</v>
      </c>
      <c r="X88" s="15"/>
      <c r="Y88" s="15" t="str">
        <f t="shared" ca="1" si="30"/>
        <v>No_Action</v>
      </c>
      <c r="Z88" s="15">
        <f t="shared" ca="1" si="31"/>
        <v>0</v>
      </c>
      <c r="AA88" s="15">
        <f t="shared" ca="1" si="32"/>
        <v>0</v>
      </c>
      <c r="AB88" s="15"/>
      <c r="AC88" s="15" t="str">
        <f t="shared" ca="1" si="33"/>
        <v>NoNo</v>
      </c>
      <c r="AD88" s="15"/>
      <c r="AE88" s="15">
        <f t="shared" ca="1" si="34"/>
        <v>0</v>
      </c>
      <c r="AF88" s="16">
        <f t="shared" ca="1" si="35"/>
        <v>0</v>
      </c>
      <c r="AG88" s="16" t="str">
        <f t="shared" ca="1" si="36"/>
        <v>No_Action</v>
      </c>
      <c r="AH88" s="15"/>
      <c r="AI88" s="15" t="str">
        <f t="shared" ca="1" si="37"/>
        <v>No_Action</v>
      </c>
      <c r="AJ88" s="15">
        <f t="shared" ca="1" si="38"/>
        <v>0</v>
      </c>
      <c r="AK88" s="15">
        <f t="shared" ca="1" si="39"/>
        <v>0</v>
      </c>
    </row>
    <row r="89" spans="1:37" ht="14.5" customHeight="1" x14ac:dyDescent="0.35">
      <c r="A89" s="12" t="s">
        <v>105</v>
      </c>
      <c r="B89" s="13">
        <f ca="1">IFERROR(__xludf.DUMMYFUNCTION("GOOGLEFINANCE(""NSE:""&amp;A89,""PRICE"")"),1575)</f>
        <v>1575</v>
      </c>
      <c r="C89" s="13">
        <f ca="1">IFERROR(__xludf.DUMMYFUNCTION("GOOGLEFINANCE(""NSE:""&amp;A89,""PRICEOPEN"")"),1600)</f>
        <v>1600</v>
      </c>
      <c r="D89" s="13">
        <f ca="1">IFERROR(__xludf.DUMMYFUNCTION("GOOGLEFINANCE(""NSE:""&amp;A89,""HIGH"")"),1620)</f>
        <v>1620</v>
      </c>
      <c r="E89" s="13">
        <f ca="1">IFERROR(__xludf.DUMMYFUNCTION("GOOGLEFINANCE(""NSE:""&amp;A89,""LOW"")"),1570.05)</f>
        <v>1570.05</v>
      </c>
      <c r="F89" s="13">
        <f ca="1">IFERROR(__xludf.DUMMYFUNCTION("GOOGLEFINANCE(""NSE:""&amp;A89,""closeyest"")"),1599.7)</f>
        <v>1599.7</v>
      </c>
      <c r="G89" s="14">
        <f t="shared" ca="1" si="20"/>
        <v>-1.5873015873015872E-2</v>
      </c>
      <c r="H89" s="13">
        <f ca="1">IFERROR(__xludf.DUMMYFUNCTION("GOOGLEFINANCE(""NSE:""&amp;A89,""VOLUME"")"),29396)</f>
        <v>29396</v>
      </c>
      <c r="I89" s="13" t="str">
        <f ca="1">IFERROR(__xludf.DUMMYFUNCTION("AVERAGE(index(GOOGLEFINANCE(""NSE:""&amp;$A89, ""volume"", today()-21, today()-1), , 2))"),"#N/A")</f>
        <v>#N/A</v>
      </c>
      <c r="J89" s="14" t="e">
        <f t="shared" ca="1" si="21"/>
        <v>#VALUE!</v>
      </c>
      <c r="K89" s="13" t="str">
        <f ca="1">IFERROR(__xludf.DUMMYFUNCTION("AVERAGE(index(GOOGLEFINANCE(""NSE:""&amp;$A89, ""close"", today()-6, today()-1), , 2))"),"#N/A")</f>
        <v>#N/A</v>
      </c>
      <c r="L89" s="13" t="str">
        <f ca="1">IFERROR(__xludf.DUMMYFUNCTION("AVERAGE(index(GOOGLEFINANCE(""NSE:""&amp;$A89, ""close"", today()-14, today()-1), , 2))"),"#N/A")</f>
        <v>#N/A</v>
      </c>
      <c r="M89" s="13" t="str">
        <f ca="1">IFERROR(__xludf.DUMMYFUNCTION("AVERAGE(index(GOOGLEFINANCE(""NSE:""&amp;$A89, ""close"", today()-22, today()-1), , 2))"),"#N/A")</f>
        <v>#N/A</v>
      </c>
      <c r="N89" s="13" t="str">
        <f t="shared" ca="1" si="22"/>
        <v>No_Action</v>
      </c>
      <c r="O89" s="13" t="str">
        <f t="shared" ca="1" si="23"/>
        <v>No_Action</v>
      </c>
      <c r="P89" s="13" t="str">
        <f t="shared" ca="1" si="24"/>
        <v>No_Action</v>
      </c>
      <c r="Q89" s="13" t="str">
        <f t="shared" ca="1" si="25"/>
        <v>No_Action</v>
      </c>
      <c r="R89" s="15"/>
      <c r="S89" s="15" t="str">
        <f t="shared" ca="1" si="26"/>
        <v>NoNo</v>
      </c>
      <c r="T89" s="15"/>
      <c r="U89" s="15">
        <f t="shared" ca="1" si="27"/>
        <v>0</v>
      </c>
      <c r="V89" s="15">
        <f t="shared" ca="1" si="28"/>
        <v>0</v>
      </c>
      <c r="W89" s="15" t="str">
        <f t="shared" ca="1" si="29"/>
        <v>No_Action</v>
      </c>
      <c r="X89" s="15"/>
      <c r="Y89" s="15" t="str">
        <f t="shared" ca="1" si="30"/>
        <v>No_Action</v>
      </c>
      <c r="Z89" s="15">
        <f t="shared" ca="1" si="31"/>
        <v>0</v>
      </c>
      <c r="AA89" s="15">
        <f t="shared" ca="1" si="32"/>
        <v>0</v>
      </c>
      <c r="AB89" s="15"/>
      <c r="AC89" s="15" t="str">
        <f t="shared" ca="1" si="33"/>
        <v>NoNo</v>
      </c>
      <c r="AD89" s="15"/>
      <c r="AE89" s="15">
        <f t="shared" ca="1" si="34"/>
        <v>0</v>
      </c>
      <c r="AF89" s="16">
        <f t="shared" ca="1" si="35"/>
        <v>0</v>
      </c>
      <c r="AG89" s="16" t="str">
        <f t="shared" ca="1" si="36"/>
        <v>No_Action</v>
      </c>
      <c r="AH89" s="15"/>
      <c r="AI89" s="15" t="str">
        <f t="shared" ca="1" si="37"/>
        <v>No_Action</v>
      </c>
      <c r="AJ89" s="15">
        <f t="shared" ca="1" si="38"/>
        <v>0</v>
      </c>
      <c r="AK89" s="15">
        <f t="shared" ca="1" si="39"/>
        <v>0</v>
      </c>
    </row>
    <row r="90" spans="1:37" ht="14.5" customHeight="1" x14ac:dyDescent="0.35">
      <c r="A90" s="12" t="s">
        <v>106</v>
      </c>
      <c r="B90" s="13">
        <f ca="1">IFERROR(__xludf.DUMMYFUNCTION("GOOGLEFINANCE(""NSE:""&amp;A90,""PRICE"")"),5951.85)</f>
        <v>5951.85</v>
      </c>
      <c r="C90" s="13">
        <f ca="1">IFERROR(__xludf.DUMMYFUNCTION("GOOGLEFINANCE(""NSE:""&amp;A90,""PRICEOPEN"")"),5999.95)</f>
        <v>5999.95</v>
      </c>
      <c r="D90" s="13">
        <f ca="1">IFERROR(__xludf.DUMMYFUNCTION("GOOGLEFINANCE(""NSE:""&amp;A90,""HIGH"")"),6041.55)</f>
        <v>6041.55</v>
      </c>
      <c r="E90" s="13">
        <f ca="1">IFERROR(__xludf.DUMMYFUNCTION("GOOGLEFINANCE(""NSE:""&amp;A90,""LOW"")"),5937.65)</f>
        <v>5937.65</v>
      </c>
      <c r="F90" s="13">
        <f ca="1">IFERROR(__xludf.DUMMYFUNCTION("GOOGLEFINANCE(""NSE:""&amp;A90,""closeyest"")"),6130.75)</f>
        <v>6130.75</v>
      </c>
      <c r="G90" s="14">
        <f t="shared" ca="1" si="20"/>
        <v>-8.0815208716616595E-3</v>
      </c>
      <c r="H90" s="13">
        <f ca="1">IFERROR(__xludf.DUMMYFUNCTION("GOOGLEFINANCE(""NSE:""&amp;A90,""VOLUME"")"),1123022)</f>
        <v>1123022</v>
      </c>
      <c r="I90" s="13" t="str">
        <f ca="1">IFERROR(__xludf.DUMMYFUNCTION("AVERAGE(index(GOOGLEFINANCE(""NSE:""&amp;$A90, ""volume"", today()-21, today()-1), , 2))"),"#N/A")</f>
        <v>#N/A</v>
      </c>
      <c r="J90" s="14" t="e">
        <f t="shared" ca="1" si="21"/>
        <v>#VALUE!</v>
      </c>
      <c r="K90" s="13" t="str">
        <f ca="1">IFERROR(__xludf.DUMMYFUNCTION("AVERAGE(index(GOOGLEFINANCE(""NSE:""&amp;$A90, ""close"", today()-6, today()-1), , 2))"),"#N/A")</f>
        <v>#N/A</v>
      </c>
      <c r="L90" s="13" t="str">
        <f ca="1">IFERROR(__xludf.DUMMYFUNCTION("AVERAGE(index(GOOGLEFINANCE(""NSE:""&amp;$A90, ""close"", today()-14, today()-1), , 2))"),"#N/A")</f>
        <v>#N/A</v>
      </c>
      <c r="M90" s="13" t="str">
        <f ca="1">IFERROR(__xludf.DUMMYFUNCTION("AVERAGE(index(GOOGLEFINANCE(""NSE:""&amp;$A90, ""close"", today()-22, today()-1), , 2))"),"#N/A")</f>
        <v>#N/A</v>
      </c>
      <c r="N90" s="13" t="str">
        <f t="shared" ca="1" si="22"/>
        <v>No_Action</v>
      </c>
      <c r="O90" s="13" t="str">
        <f t="shared" ca="1" si="23"/>
        <v>No_Action</v>
      </c>
      <c r="P90" s="13" t="str">
        <f t="shared" ca="1" si="24"/>
        <v>No_Action</v>
      </c>
      <c r="Q90" s="13" t="str">
        <f t="shared" ca="1" si="25"/>
        <v>No_Action</v>
      </c>
      <c r="R90" s="15"/>
      <c r="S90" s="15" t="str">
        <f t="shared" ca="1" si="26"/>
        <v>NoNo</v>
      </c>
      <c r="T90" s="15"/>
      <c r="U90" s="15">
        <f t="shared" ca="1" si="27"/>
        <v>0</v>
      </c>
      <c r="V90" s="15">
        <f t="shared" ca="1" si="28"/>
        <v>0</v>
      </c>
      <c r="W90" s="15" t="str">
        <f t="shared" ca="1" si="29"/>
        <v>No_Action</v>
      </c>
      <c r="X90" s="15"/>
      <c r="Y90" s="15" t="str">
        <f t="shared" ca="1" si="30"/>
        <v>No_Action</v>
      </c>
      <c r="Z90" s="15">
        <f t="shared" ca="1" si="31"/>
        <v>0</v>
      </c>
      <c r="AA90" s="15">
        <f t="shared" ca="1" si="32"/>
        <v>0</v>
      </c>
      <c r="AB90" s="15"/>
      <c r="AC90" s="15" t="str">
        <f t="shared" ca="1" si="33"/>
        <v>NoNo</v>
      </c>
      <c r="AD90" s="15"/>
      <c r="AE90" s="15">
        <f t="shared" ca="1" si="34"/>
        <v>0</v>
      </c>
      <c r="AF90" s="16">
        <f t="shared" ca="1" si="35"/>
        <v>0</v>
      </c>
      <c r="AG90" s="16" t="str">
        <f t="shared" ca="1" si="36"/>
        <v>No_Action</v>
      </c>
      <c r="AH90" s="15"/>
      <c r="AI90" s="15" t="str">
        <f t="shared" ca="1" si="37"/>
        <v>No_Action</v>
      </c>
      <c r="AJ90" s="15">
        <f t="shared" ca="1" si="38"/>
        <v>0</v>
      </c>
      <c r="AK90" s="15">
        <f t="shared" ca="1" si="39"/>
        <v>0</v>
      </c>
    </row>
    <row r="91" spans="1:37" ht="14.5" customHeight="1" x14ac:dyDescent="0.35">
      <c r="A91" s="12" t="s">
        <v>107</v>
      </c>
      <c r="B91" s="13">
        <f ca="1">IFERROR(__xludf.DUMMYFUNCTION("GOOGLEFINANCE(""NSE:""&amp;A91,""PRICE"")"),17369)</f>
        <v>17369</v>
      </c>
      <c r="C91" s="13">
        <f ca="1">IFERROR(__xludf.DUMMYFUNCTION("GOOGLEFINANCE(""NSE:""&amp;A91,""PRICEOPEN"")"),17421.05)</f>
        <v>17421.05</v>
      </c>
      <c r="D91" s="13">
        <f ca="1">IFERROR(__xludf.DUMMYFUNCTION("GOOGLEFINANCE(""NSE:""&amp;A91,""HIGH"")"),17685)</f>
        <v>17685</v>
      </c>
      <c r="E91" s="13">
        <f ca="1">IFERROR(__xludf.DUMMYFUNCTION("GOOGLEFINANCE(""NSE:""&amp;A91,""LOW"")"),17290)</f>
        <v>17290</v>
      </c>
      <c r="F91" s="13">
        <f ca="1">IFERROR(__xludf.DUMMYFUNCTION("GOOGLEFINANCE(""NSE:""&amp;A91,""closeyest"")"),17421.05)</f>
        <v>17421.05</v>
      </c>
      <c r="G91" s="14">
        <f t="shared" ca="1" si="20"/>
        <v>-2.996718291208433E-3</v>
      </c>
      <c r="H91" s="13">
        <f ca="1">IFERROR(__xludf.DUMMYFUNCTION("GOOGLEFINANCE(""NSE:""&amp;A91,""VOLUME"")"),367646)</f>
        <v>367646</v>
      </c>
      <c r="I91" s="13" t="str">
        <f ca="1">IFERROR(__xludf.DUMMYFUNCTION("AVERAGE(index(GOOGLEFINANCE(""NSE:""&amp;$A91, ""volume"", today()-21, today()-1), , 2))"),"#N/A")</f>
        <v>#N/A</v>
      </c>
      <c r="J91" s="14" t="e">
        <f t="shared" ca="1" si="21"/>
        <v>#VALUE!</v>
      </c>
      <c r="K91" s="13" t="str">
        <f ca="1">IFERROR(__xludf.DUMMYFUNCTION("AVERAGE(index(GOOGLEFINANCE(""NSE:""&amp;$A91, ""close"", today()-6, today()-1), , 2))"),"#N/A")</f>
        <v>#N/A</v>
      </c>
      <c r="L91" s="13" t="str">
        <f ca="1">IFERROR(__xludf.DUMMYFUNCTION("AVERAGE(index(GOOGLEFINANCE(""NSE:""&amp;$A91, ""close"", today()-14, today()-1), , 2))"),"#N/A")</f>
        <v>#N/A</v>
      </c>
      <c r="M91" s="13" t="str">
        <f ca="1">IFERROR(__xludf.DUMMYFUNCTION("AVERAGE(index(GOOGLEFINANCE(""NSE:""&amp;$A91, ""close"", today()-22, today()-1), , 2))"),"#N/A")</f>
        <v>#N/A</v>
      </c>
      <c r="N91" s="13" t="str">
        <f t="shared" ca="1" si="22"/>
        <v>No_Action</v>
      </c>
      <c r="O91" s="13" t="str">
        <f t="shared" ca="1" si="23"/>
        <v>No_Action</v>
      </c>
      <c r="P91" s="13" t="str">
        <f t="shared" ca="1" si="24"/>
        <v>No_Action</v>
      </c>
      <c r="Q91" s="13" t="str">
        <f t="shared" ca="1" si="25"/>
        <v>No_Action</v>
      </c>
      <c r="R91" s="15"/>
      <c r="S91" s="15" t="str">
        <f t="shared" ca="1" si="26"/>
        <v>NoNo</v>
      </c>
      <c r="T91" s="15"/>
      <c r="U91" s="15">
        <f t="shared" ca="1" si="27"/>
        <v>0</v>
      </c>
      <c r="V91" s="15">
        <f t="shared" ca="1" si="28"/>
        <v>0</v>
      </c>
      <c r="W91" s="15" t="str">
        <f t="shared" ca="1" si="29"/>
        <v>No_Action</v>
      </c>
      <c r="X91" s="15"/>
      <c r="Y91" s="15" t="str">
        <f t="shared" ca="1" si="30"/>
        <v>No_Action</v>
      </c>
      <c r="Z91" s="15">
        <f t="shared" ca="1" si="31"/>
        <v>0</v>
      </c>
      <c r="AA91" s="15">
        <f t="shared" ca="1" si="32"/>
        <v>0</v>
      </c>
      <c r="AB91" s="15"/>
      <c r="AC91" s="15" t="str">
        <f t="shared" ca="1" si="33"/>
        <v>NoNo</v>
      </c>
      <c r="AD91" s="15"/>
      <c r="AE91" s="15">
        <f t="shared" ca="1" si="34"/>
        <v>0</v>
      </c>
      <c r="AF91" s="16">
        <f t="shared" ca="1" si="35"/>
        <v>0</v>
      </c>
      <c r="AG91" s="16" t="str">
        <f t="shared" ca="1" si="36"/>
        <v>No_Action</v>
      </c>
      <c r="AH91" s="15"/>
      <c r="AI91" s="15" t="str">
        <f t="shared" ca="1" si="37"/>
        <v>No_Action</v>
      </c>
      <c r="AJ91" s="15">
        <f t="shared" ca="1" si="38"/>
        <v>0</v>
      </c>
      <c r="AK91" s="15">
        <f t="shared" ca="1" si="39"/>
        <v>0</v>
      </c>
    </row>
    <row r="92" spans="1:37" ht="14.5" customHeight="1" x14ac:dyDescent="0.35">
      <c r="A92" s="12" t="s">
        <v>108</v>
      </c>
      <c r="B92" s="13">
        <f ca="1">IFERROR(__xludf.DUMMYFUNCTION("GOOGLEFINANCE(""NSE:""&amp;A92,""PRICE"")"),3146.9)</f>
        <v>3146.9</v>
      </c>
      <c r="C92" s="13">
        <f ca="1">IFERROR(__xludf.DUMMYFUNCTION("GOOGLEFINANCE(""NSE:""&amp;A92,""PRICEOPEN"")"),3073.85)</f>
        <v>3073.85</v>
      </c>
      <c r="D92" s="13">
        <f ca="1">IFERROR(__xludf.DUMMYFUNCTION("GOOGLEFINANCE(""NSE:""&amp;A92,""HIGH"")"),3146.9)</f>
        <v>3146.9</v>
      </c>
      <c r="E92" s="13">
        <f ca="1">IFERROR(__xludf.DUMMYFUNCTION("GOOGLEFINANCE(""NSE:""&amp;A92,""LOW"")"),3026.35)</f>
        <v>3026.35</v>
      </c>
      <c r="F92" s="13">
        <f ca="1">IFERROR(__xludf.DUMMYFUNCTION("GOOGLEFINANCE(""NSE:""&amp;A92,""closeyest"")"),3068.05)</f>
        <v>3068.05</v>
      </c>
      <c r="G92" s="14">
        <f t="shared" ca="1" si="20"/>
        <v>2.3213321046108928E-2</v>
      </c>
      <c r="H92" s="13">
        <f ca="1">IFERROR(__xludf.DUMMYFUNCTION("GOOGLEFINANCE(""NSE:""&amp;A92,""VOLUME"")"),181602)</f>
        <v>181602</v>
      </c>
      <c r="I92" s="13" t="str">
        <f ca="1">IFERROR(__xludf.DUMMYFUNCTION("AVERAGE(index(GOOGLEFINANCE(""NSE:""&amp;$A92, ""volume"", today()-21, today()-1), , 2))"),"#N/A")</f>
        <v>#N/A</v>
      </c>
      <c r="J92" s="14" t="e">
        <f t="shared" ca="1" si="21"/>
        <v>#VALUE!</v>
      </c>
      <c r="K92" s="13" t="str">
        <f ca="1">IFERROR(__xludf.DUMMYFUNCTION("AVERAGE(index(GOOGLEFINANCE(""NSE:""&amp;$A92, ""close"", today()-6, today()-1), , 2))"),"#N/A")</f>
        <v>#N/A</v>
      </c>
      <c r="L92" s="13" t="str">
        <f ca="1">IFERROR(__xludf.DUMMYFUNCTION("AVERAGE(index(GOOGLEFINANCE(""NSE:""&amp;$A92, ""close"", today()-14, today()-1), , 2))"),"#N/A")</f>
        <v>#N/A</v>
      </c>
      <c r="M92" s="13" t="str">
        <f ca="1">IFERROR(__xludf.DUMMYFUNCTION("AVERAGE(index(GOOGLEFINANCE(""NSE:""&amp;$A92, ""close"", today()-22, today()-1), , 2))"),"#N/A")</f>
        <v>#N/A</v>
      </c>
      <c r="N92" s="13" t="str">
        <f t="shared" ca="1" si="22"/>
        <v>No_Action</v>
      </c>
      <c r="O92" s="13" t="str">
        <f t="shared" ca="1" si="23"/>
        <v>No_Action</v>
      </c>
      <c r="P92" s="13" t="str">
        <f t="shared" ca="1" si="24"/>
        <v>No_Action</v>
      </c>
      <c r="Q92" s="13" t="str">
        <f t="shared" ca="1" si="25"/>
        <v>No_Action</v>
      </c>
      <c r="R92" s="15"/>
      <c r="S92" s="15" t="str">
        <f t="shared" ca="1" si="26"/>
        <v>NoNo</v>
      </c>
      <c r="T92" s="15"/>
      <c r="U92" s="15">
        <f t="shared" ca="1" si="27"/>
        <v>0</v>
      </c>
      <c r="V92" s="15">
        <f t="shared" ca="1" si="28"/>
        <v>0</v>
      </c>
      <c r="W92" s="15" t="str">
        <f t="shared" ca="1" si="29"/>
        <v>No_Action</v>
      </c>
      <c r="X92" s="15"/>
      <c r="Y92" s="15" t="str">
        <f t="shared" ca="1" si="30"/>
        <v>No_Action</v>
      </c>
      <c r="Z92" s="15">
        <f t="shared" ca="1" si="31"/>
        <v>0</v>
      </c>
      <c r="AA92" s="15">
        <f t="shared" ca="1" si="32"/>
        <v>0</v>
      </c>
      <c r="AB92" s="15"/>
      <c r="AC92" s="15" t="str">
        <f t="shared" ca="1" si="33"/>
        <v>NoNo</v>
      </c>
      <c r="AD92" s="15"/>
      <c r="AE92" s="15">
        <f t="shared" ca="1" si="34"/>
        <v>0</v>
      </c>
      <c r="AF92" s="16">
        <f t="shared" ca="1" si="35"/>
        <v>0</v>
      </c>
      <c r="AG92" s="16" t="str">
        <f t="shared" ca="1" si="36"/>
        <v>No_Action</v>
      </c>
      <c r="AH92" s="15"/>
      <c r="AI92" s="15" t="str">
        <f t="shared" ca="1" si="37"/>
        <v>No_Action</v>
      </c>
      <c r="AJ92" s="15">
        <f t="shared" ca="1" si="38"/>
        <v>0</v>
      </c>
      <c r="AK92" s="15">
        <f t="shared" ca="1" si="39"/>
        <v>0</v>
      </c>
    </row>
    <row r="93" spans="1:37" ht="14.5" customHeight="1" x14ac:dyDescent="0.35">
      <c r="A93" s="12" t="s">
        <v>109</v>
      </c>
      <c r="B93" s="13">
        <f ca="1">IFERROR(__xludf.DUMMYFUNCTION("GOOGLEFINANCE(""NSE:""&amp;A93,""PRICE"")"),1255.5)</f>
        <v>1255.5</v>
      </c>
      <c r="C93" s="13">
        <f ca="1">IFERROR(__xludf.DUMMYFUNCTION("GOOGLEFINANCE(""NSE:""&amp;A93,""PRICEOPEN"")"),1254.65)</f>
        <v>1254.6500000000001</v>
      </c>
      <c r="D93" s="13">
        <f ca="1">IFERROR(__xludf.DUMMYFUNCTION("GOOGLEFINANCE(""NSE:""&amp;A93,""HIGH"")"),1261.8)</f>
        <v>1261.8</v>
      </c>
      <c r="E93" s="13">
        <f ca="1">IFERROR(__xludf.DUMMYFUNCTION("GOOGLEFINANCE(""NSE:""&amp;A93,""LOW"")"),1243.25)</f>
        <v>1243.25</v>
      </c>
      <c r="F93" s="13">
        <f ca="1">IFERROR(__xludf.DUMMYFUNCTION("GOOGLEFINANCE(""NSE:""&amp;A93,""closeyest"")"),1253.7)</f>
        <v>1253.7</v>
      </c>
      <c r="G93" s="14">
        <f t="shared" ca="1" si="20"/>
        <v>6.7702110712856154E-4</v>
      </c>
      <c r="H93" s="13">
        <f ca="1">IFERROR(__xludf.DUMMYFUNCTION("GOOGLEFINANCE(""NSE:""&amp;A93,""VOLUME"")"),1269332)</f>
        <v>1269332</v>
      </c>
      <c r="I93" s="13" t="str">
        <f ca="1">IFERROR(__xludf.DUMMYFUNCTION("AVERAGE(index(GOOGLEFINANCE(""NSE:""&amp;$A93, ""volume"", today()-21, today()-1), , 2))"),"#N/A")</f>
        <v>#N/A</v>
      </c>
      <c r="J93" s="14" t="e">
        <f t="shared" ca="1" si="21"/>
        <v>#VALUE!</v>
      </c>
      <c r="K93" s="13" t="str">
        <f ca="1">IFERROR(__xludf.DUMMYFUNCTION("AVERAGE(index(GOOGLEFINANCE(""NSE:""&amp;$A93, ""close"", today()-6, today()-1), , 2))"),"#N/A")</f>
        <v>#N/A</v>
      </c>
      <c r="L93" s="13" t="str">
        <f ca="1">IFERROR(__xludf.DUMMYFUNCTION("AVERAGE(index(GOOGLEFINANCE(""NSE:""&amp;$A93, ""close"", today()-14, today()-1), , 2))"),"#N/A")</f>
        <v>#N/A</v>
      </c>
      <c r="M93" s="13" t="str">
        <f ca="1">IFERROR(__xludf.DUMMYFUNCTION("AVERAGE(index(GOOGLEFINANCE(""NSE:""&amp;$A93, ""close"", today()-22, today()-1), , 2))"),"#N/A")</f>
        <v>#N/A</v>
      </c>
      <c r="N93" s="13" t="str">
        <f t="shared" ca="1" si="22"/>
        <v>No_Action</v>
      </c>
      <c r="O93" s="13" t="str">
        <f t="shared" ca="1" si="23"/>
        <v>No_Action</v>
      </c>
      <c r="P93" s="13" t="str">
        <f t="shared" ca="1" si="24"/>
        <v>No_Action</v>
      </c>
      <c r="Q93" s="13" t="str">
        <f t="shared" ca="1" si="25"/>
        <v>No_Action</v>
      </c>
      <c r="R93" s="15"/>
      <c r="S93" s="15" t="str">
        <f t="shared" ca="1" si="26"/>
        <v>NoNo</v>
      </c>
      <c r="T93" s="15"/>
      <c r="U93" s="15">
        <f t="shared" ca="1" si="27"/>
        <v>0</v>
      </c>
      <c r="V93" s="15">
        <f t="shared" ca="1" si="28"/>
        <v>0</v>
      </c>
      <c r="W93" s="15" t="str">
        <f t="shared" ca="1" si="29"/>
        <v>No_Action</v>
      </c>
      <c r="X93" s="15"/>
      <c r="Y93" s="15" t="str">
        <f t="shared" ca="1" si="30"/>
        <v>No_Action</v>
      </c>
      <c r="Z93" s="15">
        <f t="shared" ca="1" si="31"/>
        <v>0</v>
      </c>
      <c r="AA93" s="15">
        <f t="shared" ca="1" si="32"/>
        <v>0</v>
      </c>
      <c r="AB93" s="15"/>
      <c r="AC93" s="15" t="str">
        <f t="shared" ca="1" si="33"/>
        <v>NoNo</v>
      </c>
      <c r="AD93" s="15"/>
      <c r="AE93" s="15">
        <f t="shared" ca="1" si="34"/>
        <v>0</v>
      </c>
      <c r="AF93" s="16">
        <f t="shared" ca="1" si="35"/>
        <v>0</v>
      </c>
      <c r="AG93" s="16" t="str">
        <f t="shared" ca="1" si="36"/>
        <v>No_Action</v>
      </c>
      <c r="AH93" s="15"/>
      <c r="AI93" s="15" t="str">
        <f t="shared" ca="1" si="37"/>
        <v>No_Action</v>
      </c>
      <c r="AJ93" s="15">
        <f t="shared" ca="1" si="38"/>
        <v>0</v>
      </c>
      <c r="AK93" s="15">
        <f t="shared" ca="1" si="39"/>
        <v>0</v>
      </c>
    </row>
    <row r="94" spans="1:37" ht="14.5" customHeight="1" x14ac:dyDescent="0.35">
      <c r="A94" s="12" t="s">
        <v>110</v>
      </c>
      <c r="B94" s="13">
        <f ca="1">IFERROR(__xludf.DUMMYFUNCTION("GOOGLEFINANCE(""NSE:""&amp;A94,""PRICE"")"),426.3)</f>
        <v>426.3</v>
      </c>
      <c r="C94" s="13">
        <f ca="1">IFERROR(__xludf.DUMMYFUNCTION("GOOGLEFINANCE(""NSE:""&amp;A94,""PRICEOPEN"")"),426.95)</f>
        <v>426.95</v>
      </c>
      <c r="D94" s="13">
        <f ca="1">IFERROR(__xludf.DUMMYFUNCTION("GOOGLEFINANCE(""NSE:""&amp;A94,""HIGH"")"),431.9)</f>
        <v>431.9</v>
      </c>
      <c r="E94" s="13">
        <f ca="1">IFERROR(__xludf.DUMMYFUNCTION("GOOGLEFINANCE(""NSE:""&amp;A94,""LOW"")"),422.4)</f>
        <v>422.4</v>
      </c>
      <c r="F94" s="13">
        <f ca="1">IFERROR(__xludf.DUMMYFUNCTION("GOOGLEFINANCE(""NSE:""&amp;A94,""closeyest"")"),425.6)</f>
        <v>425.6</v>
      </c>
      <c r="G94" s="14">
        <f t="shared" ca="1" si="20"/>
        <v>-1.524747830166496E-3</v>
      </c>
      <c r="H94" s="13">
        <f ca="1">IFERROR(__xludf.DUMMYFUNCTION("GOOGLEFINANCE(""NSE:""&amp;A94,""VOLUME"")"),84447)</f>
        <v>84447</v>
      </c>
      <c r="I94" s="13" t="str">
        <f ca="1">IFERROR(__xludf.DUMMYFUNCTION("AVERAGE(index(GOOGLEFINANCE(""NSE:""&amp;$A94, ""volume"", today()-21, today()-1), , 2))"),"#N/A")</f>
        <v>#N/A</v>
      </c>
      <c r="J94" s="14" t="e">
        <f t="shared" ca="1" si="21"/>
        <v>#VALUE!</v>
      </c>
      <c r="K94" s="13" t="str">
        <f ca="1">IFERROR(__xludf.DUMMYFUNCTION("AVERAGE(index(GOOGLEFINANCE(""NSE:""&amp;$A94, ""close"", today()-6, today()-1), , 2))"),"#N/A")</f>
        <v>#N/A</v>
      </c>
      <c r="L94" s="13" t="str">
        <f ca="1">IFERROR(__xludf.DUMMYFUNCTION("AVERAGE(index(GOOGLEFINANCE(""NSE:""&amp;$A94, ""close"", today()-14, today()-1), , 2))"),"#N/A")</f>
        <v>#N/A</v>
      </c>
      <c r="M94" s="13" t="str">
        <f ca="1">IFERROR(__xludf.DUMMYFUNCTION("AVERAGE(index(GOOGLEFINANCE(""NSE:""&amp;$A94, ""close"", today()-22, today()-1), , 2))"),"#N/A")</f>
        <v>#N/A</v>
      </c>
      <c r="N94" s="13" t="str">
        <f t="shared" ca="1" si="22"/>
        <v>No_Action</v>
      </c>
      <c r="O94" s="13" t="str">
        <f t="shared" ca="1" si="23"/>
        <v>No_Action</v>
      </c>
      <c r="P94" s="13" t="str">
        <f t="shared" ca="1" si="24"/>
        <v>No_Action</v>
      </c>
      <c r="Q94" s="13" t="str">
        <f t="shared" ca="1" si="25"/>
        <v>No_Action</v>
      </c>
      <c r="R94" s="15"/>
      <c r="S94" s="15" t="str">
        <f t="shared" ca="1" si="26"/>
        <v>NoNo</v>
      </c>
      <c r="T94" s="15"/>
      <c r="U94" s="15">
        <f t="shared" ca="1" si="27"/>
        <v>0</v>
      </c>
      <c r="V94" s="15">
        <f t="shared" ca="1" si="28"/>
        <v>0</v>
      </c>
      <c r="W94" s="15" t="str">
        <f t="shared" ca="1" si="29"/>
        <v>No_Action</v>
      </c>
      <c r="X94" s="15"/>
      <c r="Y94" s="15" t="str">
        <f t="shared" ca="1" si="30"/>
        <v>No_Action</v>
      </c>
      <c r="Z94" s="15">
        <f t="shared" ca="1" si="31"/>
        <v>0</v>
      </c>
      <c r="AA94" s="15">
        <f t="shared" ca="1" si="32"/>
        <v>0</v>
      </c>
      <c r="AB94" s="15"/>
      <c r="AC94" s="15" t="str">
        <f t="shared" ca="1" si="33"/>
        <v>NoNo</v>
      </c>
      <c r="AD94" s="15"/>
      <c r="AE94" s="15">
        <f t="shared" ca="1" si="34"/>
        <v>0</v>
      </c>
      <c r="AF94" s="16">
        <f t="shared" ca="1" si="35"/>
        <v>0</v>
      </c>
      <c r="AG94" s="16" t="str">
        <f t="shared" ca="1" si="36"/>
        <v>No_Action</v>
      </c>
      <c r="AH94" s="15"/>
      <c r="AI94" s="15" t="str">
        <f t="shared" ca="1" si="37"/>
        <v>No_Action</v>
      </c>
      <c r="AJ94" s="15">
        <f t="shared" ca="1" si="38"/>
        <v>0</v>
      </c>
      <c r="AK94" s="15">
        <f t="shared" ca="1" si="39"/>
        <v>0</v>
      </c>
    </row>
    <row r="95" spans="1:37" ht="14.5" customHeight="1" x14ac:dyDescent="0.35">
      <c r="A95" s="12" t="s">
        <v>111</v>
      </c>
      <c r="B95" s="13">
        <f ca="1">IFERROR(__xludf.DUMMYFUNCTION("GOOGLEFINANCE(""NSE:""&amp;A95,""PRICE"")"),3665.05)</f>
        <v>3665.05</v>
      </c>
      <c r="C95" s="13">
        <f ca="1">IFERROR(__xludf.DUMMYFUNCTION("GOOGLEFINANCE(""NSE:""&amp;A95,""PRICEOPEN"")"),3634.95)</f>
        <v>3634.95</v>
      </c>
      <c r="D95" s="13">
        <f ca="1">IFERROR(__xludf.DUMMYFUNCTION("GOOGLEFINANCE(""NSE:""&amp;A95,""HIGH"")"),3700)</f>
        <v>3700</v>
      </c>
      <c r="E95" s="13">
        <f ca="1">IFERROR(__xludf.DUMMYFUNCTION("GOOGLEFINANCE(""NSE:""&amp;A95,""LOW"")"),3615.85)</f>
        <v>3615.85</v>
      </c>
      <c r="F95" s="13">
        <f ca="1">IFERROR(__xludf.DUMMYFUNCTION("GOOGLEFINANCE(""NSE:""&amp;A95,""closeyest"")"),3615.85)</f>
        <v>3615.85</v>
      </c>
      <c r="G95" s="14">
        <f t="shared" ca="1" si="20"/>
        <v>8.21271196845892E-3</v>
      </c>
      <c r="H95" s="13">
        <f ca="1">IFERROR(__xludf.DUMMYFUNCTION("GOOGLEFINANCE(""NSE:""&amp;A95,""VOLUME"")"),62319)</f>
        <v>62319</v>
      </c>
      <c r="I95" s="13" t="str">
        <f ca="1">IFERROR(__xludf.DUMMYFUNCTION("AVERAGE(index(GOOGLEFINANCE(""NSE:""&amp;$A95, ""volume"", today()-21, today()-1), , 2))"),"#N/A")</f>
        <v>#N/A</v>
      </c>
      <c r="J95" s="14" t="e">
        <f t="shared" ca="1" si="21"/>
        <v>#VALUE!</v>
      </c>
      <c r="K95" s="13" t="str">
        <f ca="1">IFERROR(__xludf.DUMMYFUNCTION("AVERAGE(index(GOOGLEFINANCE(""NSE:""&amp;$A95, ""close"", today()-6, today()-1), , 2))"),"#N/A")</f>
        <v>#N/A</v>
      </c>
      <c r="L95" s="13" t="str">
        <f ca="1">IFERROR(__xludf.DUMMYFUNCTION("AVERAGE(index(GOOGLEFINANCE(""NSE:""&amp;$A95, ""close"", today()-14, today()-1), , 2))"),"#N/A")</f>
        <v>#N/A</v>
      </c>
      <c r="M95" s="13" t="str">
        <f ca="1">IFERROR(__xludf.DUMMYFUNCTION("AVERAGE(index(GOOGLEFINANCE(""NSE:""&amp;$A95, ""close"", today()-22, today()-1), , 2))"),"#N/A")</f>
        <v>#N/A</v>
      </c>
      <c r="N95" s="13" t="str">
        <f t="shared" ca="1" si="22"/>
        <v>No_Action</v>
      </c>
      <c r="O95" s="13" t="str">
        <f t="shared" ca="1" si="23"/>
        <v>No_Action</v>
      </c>
      <c r="P95" s="13" t="str">
        <f t="shared" ca="1" si="24"/>
        <v>No_Action</v>
      </c>
      <c r="Q95" s="13" t="str">
        <f t="shared" ca="1" si="25"/>
        <v>No_Action</v>
      </c>
      <c r="R95" s="15"/>
      <c r="S95" s="15" t="str">
        <f t="shared" ca="1" si="26"/>
        <v>NoNo</v>
      </c>
      <c r="T95" s="15"/>
      <c r="U95" s="15">
        <f t="shared" ca="1" si="27"/>
        <v>0</v>
      </c>
      <c r="V95" s="15">
        <f t="shared" ca="1" si="28"/>
        <v>0</v>
      </c>
      <c r="W95" s="15" t="str">
        <f t="shared" ca="1" si="29"/>
        <v>No_Action</v>
      </c>
      <c r="X95" s="15"/>
      <c r="Y95" s="15" t="str">
        <f t="shared" ca="1" si="30"/>
        <v>No_Action</v>
      </c>
      <c r="Z95" s="15">
        <f t="shared" ca="1" si="31"/>
        <v>0</v>
      </c>
      <c r="AA95" s="15">
        <f t="shared" ca="1" si="32"/>
        <v>0</v>
      </c>
      <c r="AB95" s="15"/>
      <c r="AC95" s="15" t="str">
        <f t="shared" ca="1" si="33"/>
        <v>NoNo</v>
      </c>
      <c r="AD95" s="15"/>
      <c r="AE95" s="15">
        <f t="shared" ca="1" si="34"/>
        <v>0</v>
      </c>
      <c r="AF95" s="16">
        <f t="shared" ca="1" si="35"/>
        <v>0</v>
      </c>
      <c r="AG95" s="16" t="str">
        <f t="shared" ca="1" si="36"/>
        <v>No_Action</v>
      </c>
      <c r="AH95" s="15"/>
      <c r="AI95" s="15" t="str">
        <f t="shared" ca="1" si="37"/>
        <v>No_Action</v>
      </c>
      <c r="AJ95" s="15">
        <f t="shared" ca="1" si="38"/>
        <v>0</v>
      </c>
      <c r="AK95" s="15">
        <f t="shared" ca="1" si="39"/>
        <v>0</v>
      </c>
    </row>
    <row r="96" spans="1:37" ht="14.5" customHeight="1" x14ac:dyDescent="0.35">
      <c r="A96" s="12" t="s">
        <v>112</v>
      </c>
      <c r="B96" s="13">
        <f ca="1">IFERROR(__xludf.DUMMYFUNCTION("GOOGLEFINANCE(""NSE:""&amp;A96,""PRICE"")"),4857.4)</f>
        <v>4857.3999999999996</v>
      </c>
      <c r="C96" s="13">
        <f ca="1">IFERROR(__xludf.DUMMYFUNCTION("GOOGLEFINANCE(""NSE:""&amp;A96,""PRICEOPEN"")"),4886.6)</f>
        <v>4886.6000000000004</v>
      </c>
      <c r="D96" s="13">
        <f ca="1">IFERROR(__xludf.DUMMYFUNCTION("GOOGLEFINANCE(""NSE:""&amp;A96,""HIGH"")"),4888)</f>
        <v>4888</v>
      </c>
      <c r="E96" s="13">
        <f ca="1">IFERROR(__xludf.DUMMYFUNCTION("GOOGLEFINANCE(""NSE:""&amp;A96,""LOW"")"),4815)</f>
        <v>4815</v>
      </c>
      <c r="F96" s="13">
        <f ca="1">IFERROR(__xludf.DUMMYFUNCTION("GOOGLEFINANCE(""NSE:""&amp;A96,""closeyest"")"),4877.05)</f>
        <v>4877.05</v>
      </c>
      <c r="G96" s="14">
        <f t="shared" ca="1" si="20"/>
        <v>-6.0114464528350006E-3</v>
      </c>
      <c r="H96" s="13">
        <f ca="1">IFERROR(__xludf.DUMMYFUNCTION("GOOGLEFINANCE(""NSE:""&amp;A96,""VOLUME"")"),377043)</f>
        <v>377043</v>
      </c>
      <c r="I96" s="13" t="str">
        <f ca="1">IFERROR(__xludf.DUMMYFUNCTION("AVERAGE(index(GOOGLEFINANCE(""NSE:""&amp;$A96, ""volume"", today()-21, today()-1), , 2))"),"#N/A")</f>
        <v>#N/A</v>
      </c>
      <c r="J96" s="14" t="e">
        <f t="shared" ca="1" si="21"/>
        <v>#VALUE!</v>
      </c>
      <c r="K96" s="13" t="str">
        <f ca="1">IFERROR(__xludf.DUMMYFUNCTION("AVERAGE(index(GOOGLEFINANCE(""NSE:""&amp;$A96, ""close"", today()-6, today()-1), , 2))"),"#N/A")</f>
        <v>#N/A</v>
      </c>
      <c r="L96" s="13" t="str">
        <f ca="1">IFERROR(__xludf.DUMMYFUNCTION("AVERAGE(index(GOOGLEFINANCE(""NSE:""&amp;$A96, ""close"", today()-14, today()-1), , 2))"),"#N/A")</f>
        <v>#N/A</v>
      </c>
      <c r="M96" s="13" t="str">
        <f ca="1">IFERROR(__xludf.DUMMYFUNCTION("AVERAGE(index(GOOGLEFINANCE(""NSE:""&amp;$A96, ""close"", today()-22, today()-1), , 2))"),"#N/A")</f>
        <v>#N/A</v>
      </c>
      <c r="N96" s="13" t="str">
        <f t="shared" ca="1" si="22"/>
        <v>No_Action</v>
      </c>
      <c r="O96" s="13" t="str">
        <f t="shared" ca="1" si="23"/>
        <v>No_Action</v>
      </c>
      <c r="P96" s="13" t="str">
        <f t="shared" ca="1" si="24"/>
        <v>No_Action</v>
      </c>
      <c r="Q96" s="13" t="str">
        <f t="shared" ca="1" si="25"/>
        <v>No_Action</v>
      </c>
      <c r="R96" s="15"/>
      <c r="S96" s="15" t="str">
        <f t="shared" ca="1" si="26"/>
        <v>NoNo</v>
      </c>
      <c r="T96" s="15"/>
      <c r="U96" s="15">
        <f t="shared" ca="1" si="27"/>
        <v>0</v>
      </c>
      <c r="V96" s="15">
        <f t="shared" ca="1" si="28"/>
        <v>0</v>
      </c>
      <c r="W96" s="15" t="str">
        <f t="shared" ca="1" si="29"/>
        <v>No_Action</v>
      </c>
      <c r="X96" s="15"/>
      <c r="Y96" s="15" t="str">
        <f t="shared" ca="1" si="30"/>
        <v>No_Action</v>
      </c>
      <c r="Z96" s="15">
        <f t="shared" ca="1" si="31"/>
        <v>0</v>
      </c>
      <c r="AA96" s="15">
        <f t="shared" ca="1" si="32"/>
        <v>0</v>
      </c>
      <c r="AB96" s="15"/>
      <c r="AC96" s="15" t="str">
        <f t="shared" ca="1" si="33"/>
        <v>NoNo</v>
      </c>
      <c r="AD96" s="15"/>
      <c r="AE96" s="15">
        <f t="shared" ca="1" si="34"/>
        <v>0</v>
      </c>
      <c r="AF96" s="16">
        <f t="shared" ca="1" si="35"/>
        <v>0</v>
      </c>
      <c r="AG96" s="16" t="str">
        <f t="shared" ca="1" si="36"/>
        <v>No_Action</v>
      </c>
      <c r="AH96" s="15"/>
      <c r="AI96" s="15" t="str">
        <f t="shared" ca="1" si="37"/>
        <v>No_Action</v>
      </c>
      <c r="AJ96" s="15">
        <f t="shared" ca="1" si="38"/>
        <v>0</v>
      </c>
      <c r="AK96" s="15">
        <f t="shared" ca="1" si="39"/>
        <v>0</v>
      </c>
    </row>
    <row r="97" spans="1:37" ht="14.5" customHeight="1" x14ac:dyDescent="0.35">
      <c r="A97" s="12" t="s">
        <v>113</v>
      </c>
      <c r="B97" s="13">
        <f ca="1">IFERROR(__xludf.DUMMYFUNCTION("GOOGLEFINANCE(""NSE:""&amp;A97,""PRICE"")"),895)</f>
        <v>895</v>
      </c>
      <c r="C97" s="13">
        <f ca="1">IFERROR(__xludf.DUMMYFUNCTION("GOOGLEFINANCE(""NSE:""&amp;A97,""PRICEOPEN"")"),925.1)</f>
        <v>925.1</v>
      </c>
      <c r="D97" s="13">
        <f ca="1">IFERROR(__xludf.DUMMYFUNCTION("GOOGLEFINANCE(""NSE:""&amp;A97,""HIGH"")"),925.1)</f>
        <v>925.1</v>
      </c>
      <c r="E97" s="13">
        <f ca="1">IFERROR(__xludf.DUMMYFUNCTION("GOOGLEFINANCE(""NSE:""&amp;A97,""LOW"")"),891.55)</f>
        <v>891.55</v>
      </c>
      <c r="F97" s="13">
        <f ca="1">IFERROR(__xludf.DUMMYFUNCTION("GOOGLEFINANCE(""NSE:""&amp;A97,""closeyest"")"),907.7)</f>
        <v>907.7</v>
      </c>
      <c r="G97" s="14">
        <f t="shared" ca="1" si="20"/>
        <v>-3.363128491620114E-2</v>
      </c>
      <c r="H97" s="13">
        <f ca="1">IFERROR(__xludf.DUMMYFUNCTION("GOOGLEFINANCE(""NSE:""&amp;A97,""VOLUME"")"),237332)</f>
        <v>237332</v>
      </c>
      <c r="I97" s="13" t="str">
        <f ca="1">IFERROR(__xludf.DUMMYFUNCTION("AVERAGE(index(GOOGLEFINANCE(""NSE:""&amp;$A97, ""volume"", today()-21, today()-1), , 2))"),"#N/A")</f>
        <v>#N/A</v>
      </c>
      <c r="J97" s="14" t="e">
        <f t="shared" ca="1" si="21"/>
        <v>#VALUE!</v>
      </c>
      <c r="K97" s="13" t="str">
        <f ca="1">IFERROR(__xludf.DUMMYFUNCTION("AVERAGE(index(GOOGLEFINANCE(""NSE:""&amp;$A97, ""close"", today()-6, today()-1), , 2))"),"#N/A")</f>
        <v>#N/A</v>
      </c>
      <c r="L97" s="13" t="str">
        <f ca="1">IFERROR(__xludf.DUMMYFUNCTION("AVERAGE(index(GOOGLEFINANCE(""NSE:""&amp;$A97, ""close"", today()-14, today()-1), , 2))"),"#N/A")</f>
        <v>#N/A</v>
      </c>
      <c r="M97" s="13" t="str">
        <f ca="1">IFERROR(__xludf.DUMMYFUNCTION("AVERAGE(index(GOOGLEFINANCE(""NSE:""&amp;$A97, ""close"", today()-22, today()-1), , 2))"),"#N/A")</f>
        <v>#N/A</v>
      </c>
      <c r="N97" s="13" t="str">
        <f t="shared" ca="1" si="22"/>
        <v>No_Action</v>
      </c>
      <c r="O97" s="13" t="str">
        <f t="shared" ca="1" si="23"/>
        <v>No_Action</v>
      </c>
      <c r="P97" s="13" t="str">
        <f t="shared" ca="1" si="24"/>
        <v>No_Action</v>
      </c>
      <c r="Q97" s="13" t="str">
        <f t="shared" ca="1" si="25"/>
        <v>No_Action</v>
      </c>
      <c r="R97" s="15"/>
      <c r="S97" s="15" t="str">
        <f t="shared" ca="1" si="26"/>
        <v>NoNo</v>
      </c>
      <c r="T97" s="15"/>
      <c r="U97" s="15">
        <f t="shared" ca="1" si="27"/>
        <v>0</v>
      </c>
      <c r="V97" s="15">
        <f t="shared" ca="1" si="28"/>
        <v>0</v>
      </c>
      <c r="W97" s="15" t="str">
        <f t="shared" ca="1" si="29"/>
        <v>No_Action</v>
      </c>
      <c r="X97" s="15"/>
      <c r="Y97" s="15" t="str">
        <f t="shared" ca="1" si="30"/>
        <v>No_Action</v>
      </c>
      <c r="Z97" s="15">
        <f t="shared" ca="1" si="31"/>
        <v>0</v>
      </c>
      <c r="AA97" s="15">
        <f t="shared" ca="1" si="32"/>
        <v>0</v>
      </c>
      <c r="AB97" s="15"/>
      <c r="AC97" s="15" t="str">
        <f t="shared" ca="1" si="33"/>
        <v>NoNo</v>
      </c>
      <c r="AD97" s="15"/>
      <c r="AE97" s="15">
        <f t="shared" ca="1" si="34"/>
        <v>0</v>
      </c>
      <c r="AF97" s="16">
        <f t="shared" ca="1" si="35"/>
        <v>0</v>
      </c>
      <c r="AG97" s="16" t="str">
        <f t="shared" ca="1" si="36"/>
        <v>No_Action</v>
      </c>
      <c r="AH97" s="15"/>
      <c r="AI97" s="15" t="str">
        <f t="shared" ca="1" si="37"/>
        <v>No_Action</v>
      </c>
      <c r="AJ97" s="15">
        <f t="shared" ca="1" si="38"/>
        <v>0</v>
      </c>
      <c r="AK97" s="15">
        <f t="shared" ca="1" si="39"/>
        <v>0</v>
      </c>
    </row>
    <row r="98" spans="1:37" ht="14.5" customHeight="1" x14ac:dyDescent="0.35">
      <c r="A98" s="12" t="s">
        <v>114</v>
      </c>
      <c r="B98" s="13">
        <f ca="1">IFERROR(__xludf.DUMMYFUNCTION("GOOGLEFINANCE(""NSE:""&amp;A98,""PRICE"")"),409.1)</f>
        <v>409.1</v>
      </c>
      <c r="C98" s="13">
        <f ca="1">IFERROR(__xludf.DUMMYFUNCTION("GOOGLEFINANCE(""NSE:""&amp;A98,""PRICEOPEN"")"),413.85)</f>
        <v>413.85</v>
      </c>
      <c r="D98" s="13">
        <f ca="1">IFERROR(__xludf.DUMMYFUNCTION("GOOGLEFINANCE(""NSE:""&amp;A98,""HIGH"")"),422)</f>
        <v>422</v>
      </c>
      <c r="E98" s="13">
        <f ca="1">IFERROR(__xludf.DUMMYFUNCTION("GOOGLEFINANCE(""NSE:""&amp;A98,""LOW"")"),406.1)</f>
        <v>406.1</v>
      </c>
      <c r="F98" s="13">
        <f ca="1">IFERROR(__xludf.DUMMYFUNCTION("GOOGLEFINANCE(""NSE:""&amp;A98,""closeyest"")"),411.45)</f>
        <v>411.45</v>
      </c>
      <c r="G98" s="14">
        <f t="shared" ca="1" si="20"/>
        <v>-1.1610853092153508E-2</v>
      </c>
      <c r="H98" s="13">
        <f ca="1">IFERROR(__xludf.DUMMYFUNCTION("GOOGLEFINANCE(""NSE:""&amp;A98,""VOLUME"")"),954567)</f>
        <v>954567</v>
      </c>
      <c r="I98" s="13" t="str">
        <f ca="1">IFERROR(__xludf.DUMMYFUNCTION("AVERAGE(index(GOOGLEFINANCE(""NSE:""&amp;$A98, ""volume"", today()-21, today()-1), , 2))"),"#N/A")</f>
        <v>#N/A</v>
      </c>
      <c r="J98" s="14" t="e">
        <f t="shared" ca="1" si="21"/>
        <v>#VALUE!</v>
      </c>
      <c r="K98" s="13" t="str">
        <f ca="1">IFERROR(__xludf.DUMMYFUNCTION("AVERAGE(index(GOOGLEFINANCE(""NSE:""&amp;$A98, ""close"", today()-6, today()-1), , 2))"),"#N/A")</f>
        <v>#N/A</v>
      </c>
      <c r="L98" s="13" t="str">
        <f ca="1">IFERROR(__xludf.DUMMYFUNCTION("AVERAGE(index(GOOGLEFINANCE(""NSE:""&amp;$A98, ""close"", today()-14, today()-1), , 2))"),"#N/A")</f>
        <v>#N/A</v>
      </c>
      <c r="M98" s="13" t="str">
        <f ca="1">IFERROR(__xludf.DUMMYFUNCTION("AVERAGE(index(GOOGLEFINANCE(""NSE:""&amp;$A98, ""close"", today()-22, today()-1), , 2))"),"#N/A")</f>
        <v>#N/A</v>
      </c>
      <c r="N98" s="13" t="str">
        <f t="shared" ca="1" si="22"/>
        <v>No_Action</v>
      </c>
      <c r="O98" s="13" t="str">
        <f t="shared" ca="1" si="23"/>
        <v>No_Action</v>
      </c>
      <c r="P98" s="13" t="str">
        <f t="shared" ca="1" si="24"/>
        <v>No_Action</v>
      </c>
      <c r="Q98" s="13" t="str">
        <f t="shared" ca="1" si="25"/>
        <v>No_Action</v>
      </c>
      <c r="R98" s="15"/>
      <c r="S98" s="15" t="str">
        <f t="shared" ca="1" si="26"/>
        <v>NoNo</v>
      </c>
      <c r="T98" s="15"/>
      <c r="U98" s="15">
        <f t="shared" ca="1" si="27"/>
        <v>0</v>
      </c>
      <c r="V98" s="15">
        <f t="shared" ca="1" si="28"/>
        <v>0</v>
      </c>
      <c r="W98" s="15" t="str">
        <f t="shared" ca="1" si="29"/>
        <v>No_Action</v>
      </c>
      <c r="X98" s="15"/>
      <c r="Y98" s="15" t="str">
        <f t="shared" ca="1" si="30"/>
        <v>No_Action</v>
      </c>
      <c r="Z98" s="15">
        <f t="shared" ca="1" si="31"/>
        <v>0</v>
      </c>
      <c r="AA98" s="15">
        <f t="shared" ca="1" si="32"/>
        <v>0</v>
      </c>
      <c r="AB98" s="15"/>
      <c r="AC98" s="15" t="str">
        <f t="shared" ca="1" si="33"/>
        <v>NoNo</v>
      </c>
      <c r="AD98" s="15"/>
      <c r="AE98" s="15">
        <f t="shared" ca="1" si="34"/>
        <v>0</v>
      </c>
      <c r="AF98" s="16">
        <f t="shared" ca="1" si="35"/>
        <v>0</v>
      </c>
      <c r="AG98" s="16" t="str">
        <f t="shared" ca="1" si="36"/>
        <v>No_Action</v>
      </c>
      <c r="AH98" s="15"/>
      <c r="AI98" s="15" t="str">
        <f t="shared" ca="1" si="37"/>
        <v>No_Action</v>
      </c>
      <c r="AJ98" s="15">
        <f t="shared" ca="1" si="38"/>
        <v>0</v>
      </c>
      <c r="AK98" s="15">
        <f t="shared" ca="1" si="39"/>
        <v>0</v>
      </c>
    </row>
    <row r="99" spans="1:37" ht="14.5" customHeight="1" x14ac:dyDescent="0.35">
      <c r="A99" s="12" t="s">
        <v>115</v>
      </c>
      <c r="B99" s="13">
        <f ca="1">IFERROR(__xludf.DUMMYFUNCTION("GOOGLEFINANCE(""NSE:""&amp;A99,""PRICE"")"),627)</f>
        <v>627</v>
      </c>
      <c r="C99" s="13">
        <f ca="1">IFERROR(__xludf.DUMMYFUNCTION("GOOGLEFINANCE(""NSE:""&amp;A99,""PRICEOPEN"")"),630.95)</f>
        <v>630.95000000000005</v>
      </c>
      <c r="D99" s="13">
        <f ca="1">IFERROR(__xludf.DUMMYFUNCTION("GOOGLEFINANCE(""NSE:""&amp;A99,""HIGH"")"),640.95)</f>
        <v>640.95000000000005</v>
      </c>
      <c r="E99" s="13">
        <f ca="1">IFERROR(__xludf.DUMMYFUNCTION("GOOGLEFINANCE(""NSE:""&amp;A99,""LOW"")"),621.1)</f>
        <v>621.1</v>
      </c>
      <c r="F99" s="13">
        <f ca="1">IFERROR(__xludf.DUMMYFUNCTION("GOOGLEFINANCE(""NSE:""&amp;A99,""closeyest"")"),630.95)</f>
        <v>630.95000000000005</v>
      </c>
      <c r="G99" s="14">
        <f t="shared" ca="1" si="20"/>
        <v>-6.299840510366899E-3</v>
      </c>
      <c r="H99" s="13">
        <f ca="1">IFERROR(__xludf.DUMMYFUNCTION("GOOGLEFINANCE(""NSE:""&amp;A99,""VOLUME"")"),211034)</f>
        <v>211034</v>
      </c>
      <c r="I99" s="13" t="str">
        <f ca="1">IFERROR(__xludf.DUMMYFUNCTION("AVERAGE(index(GOOGLEFINANCE(""NSE:""&amp;$A99, ""volume"", today()-21, today()-1), , 2))"),"#N/A")</f>
        <v>#N/A</v>
      </c>
      <c r="J99" s="14" t="e">
        <f t="shared" ca="1" si="21"/>
        <v>#VALUE!</v>
      </c>
      <c r="K99" s="13" t="str">
        <f ca="1">IFERROR(__xludf.DUMMYFUNCTION("AVERAGE(index(GOOGLEFINANCE(""NSE:""&amp;$A99, ""close"", today()-6, today()-1), , 2))"),"#N/A")</f>
        <v>#N/A</v>
      </c>
      <c r="L99" s="13" t="str">
        <f ca="1">IFERROR(__xludf.DUMMYFUNCTION("AVERAGE(index(GOOGLEFINANCE(""NSE:""&amp;$A99, ""close"", today()-14, today()-1), , 2))"),"#N/A")</f>
        <v>#N/A</v>
      </c>
      <c r="M99" s="13" t="str">
        <f ca="1">IFERROR(__xludf.DUMMYFUNCTION("AVERAGE(index(GOOGLEFINANCE(""NSE:""&amp;$A99, ""close"", today()-22, today()-1), , 2))"),"#N/A")</f>
        <v>#N/A</v>
      </c>
      <c r="N99" s="13" t="str">
        <f t="shared" ca="1" si="22"/>
        <v>No_Action</v>
      </c>
      <c r="O99" s="13" t="str">
        <f t="shared" ca="1" si="23"/>
        <v>No_Action</v>
      </c>
      <c r="P99" s="13" t="str">
        <f t="shared" ca="1" si="24"/>
        <v>No_Action</v>
      </c>
      <c r="Q99" s="13" t="str">
        <f t="shared" ca="1" si="25"/>
        <v>No_Action</v>
      </c>
      <c r="R99" s="15"/>
      <c r="S99" s="15" t="str">
        <f t="shared" ca="1" si="26"/>
        <v>NoNo</v>
      </c>
      <c r="T99" s="15"/>
      <c r="U99" s="15">
        <f t="shared" ca="1" si="27"/>
        <v>0</v>
      </c>
      <c r="V99" s="15">
        <f t="shared" ca="1" si="28"/>
        <v>0</v>
      </c>
      <c r="W99" s="15" t="str">
        <f t="shared" ca="1" si="29"/>
        <v>No_Action</v>
      </c>
      <c r="X99" s="15"/>
      <c r="Y99" s="15" t="str">
        <f t="shared" ca="1" si="30"/>
        <v>No_Action</v>
      </c>
      <c r="Z99" s="15">
        <f t="shared" ca="1" si="31"/>
        <v>0</v>
      </c>
      <c r="AA99" s="15">
        <f t="shared" ca="1" si="32"/>
        <v>0</v>
      </c>
      <c r="AB99" s="15"/>
      <c r="AC99" s="15" t="str">
        <f t="shared" ca="1" si="33"/>
        <v>NoNo</v>
      </c>
      <c r="AD99" s="15"/>
      <c r="AE99" s="15">
        <f t="shared" ca="1" si="34"/>
        <v>0</v>
      </c>
      <c r="AF99" s="16">
        <f t="shared" ca="1" si="35"/>
        <v>0</v>
      </c>
      <c r="AG99" s="16" t="str">
        <f t="shared" ca="1" si="36"/>
        <v>No_Action</v>
      </c>
      <c r="AH99" s="15"/>
      <c r="AI99" s="15" t="str">
        <f t="shared" ca="1" si="37"/>
        <v>No_Action</v>
      </c>
      <c r="AJ99" s="15">
        <f t="shared" ca="1" si="38"/>
        <v>0</v>
      </c>
      <c r="AK99" s="15">
        <f t="shared" ca="1" si="39"/>
        <v>0</v>
      </c>
    </row>
    <row r="100" spans="1:37" ht="14.5" customHeight="1" x14ac:dyDescent="0.35">
      <c r="A100" s="12" t="s">
        <v>116</v>
      </c>
      <c r="B100" s="13">
        <f ca="1">IFERROR(__xludf.DUMMYFUNCTION("GOOGLEFINANCE(""NSE:""&amp;A100,""PRICE"")"),168.49)</f>
        <v>168.49</v>
      </c>
      <c r="C100" s="13">
        <f ca="1">IFERROR(__xludf.DUMMYFUNCTION("GOOGLEFINANCE(""NSE:""&amp;A100,""PRICEOPEN"")"),166.95)</f>
        <v>166.95</v>
      </c>
      <c r="D100" s="13">
        <f ca="1">IFERROR(__xludf.DUMMYFUNCTION("GOOGLEFINANCE(""NSE:""&amp;A100,""HIGH"")"),170.7)</f>
        <v>170.7</v>
      </c>
      <c r="E100" s="13">
        <f ca="1">IFERROR(__xludf.DUMMYFUNCTION("GOOGLEFINANCE(""NSE:""&amp;A100,""LOW"")"),166.61)</f>
        <v>166.61</v>
      </c>
      <c r="F100" s="13">
        <f ca="1">IFERROR(__xludf.DUMMYFUNCTION("GOOGLEFINANCE(""NSE:""&amp;A100,""closeyest"")"),166.24)</f>
        <v>166.24</v>
      </c>
      <c r="G100" s="14">
        <f t="shared" ca="1" si="20"/>
        <v>9.1400083090985833E-3</v>
      </c>
      <c r="H100" s="13">
        <f ca="1">IFERROR(__xludf.DUMMYFUNCTION("GOOGLEFINANCE(""NSE:""&amp;A100,""VOLUME"")"),1862762)</f>
        <v>1862762</v>
      </c>
      <c r="I100" s="13" t="str">
        <f ca="1">IFERROR(__xludf.DUMMYFUNCTION("AVERAGE(index(GOOGLEFINANCE(""NSE:""&amp;$A100, ""volume"", today()-21, today()-1), , 2))"),"#N/A")</f>
        <v>#N/A</v>
      </c>
      <c r="J100" s="14" t="e">
        <f t="shared" ca="1" si="21"/>
        <v>#VALUE!</v>
      </c>
      <c r="K100" s="13" t="str">
        <f ca="1">IFERROR(__xludf.DUMMYFUNCTION("AVERAGE(index(GOOGLEFINANCE(""NSE:""&amp;$A100, ""close"", today()-6, today()-1), , 2))"),"#N/A")</f>
        <v>#N/A</v>
      </c>
      <c r="L100" s="13" t="str">
        <f ca="1">IFERROR(__xludf.DUMMYFUNCTION("AVERAGE(index(GOOGLEFINANCE(""NSE:""&amp;$A100, ""close"", today()-14, today()-1), , 2))"),"#N/A")</f>
        <v>#N/A</v>
      </c>
      <c r="M100" s="13" t="str">
        <f ca="1">IFERROR(__xludf.DUMMYFUNCTION("AVERAGE(index(GOOGLEFINANCE(""NSE:""&amp;$A100, ""close"", today()-22, today()-1), , 2))"),"#N/A")</f>
        <v>#N/A</v>
      </c>
      <c r="N100" s="13" t="str">
        <f t="shared" ca="1" si="22"/>
        <v>No_Action</v>
      </c>
      <c r="O100" s="13" t="str">
        <f t="shared" ca="1" si="23"/>
        <v>No_Action</v>
      </c>
      <c r="P100" s="13" t="str">
        <f t="shared" ca="1" si="24"/>
        <v>No_Action</v>
      </c>
      <c r="Q100" s="13" t="str">
        <f t="shared" ca="1" si="25"/>
        <v>No_Action</v>
      </c>
      <c r="R100" s="15"/>
      <c r="S100" s="15" t="str">
        <f t="shared" ca="1" si="26"/>
        <v>NoNo</v>
      </c>
      <c r="T100" s="15"/>
      <c r="U100" s="15">
        <f t="shared" ca="1" si="27"/>
        <v>0</v>
      </c>
      <c r="V100" s="15">
        <f t="shared" ca="1" si="28"/>
        <v>0</v>
      </c>
      <c r="W100" s="15" t="str">
        <f t="shared" ca="1" si="29"/>
        <v>No_Action</v>
      </c>
      <c r="X100" s="15"/>
      <c r="Y100" s="15" t="str">
        <f t="shared" ca="1" si="30"/>
        <v>No_Action</v>
      </c>
      <c r="Z100" s="15">
        <f t="shared" ca="1" si="31"/>
        <v>0</v>
      </c>
      <c r="AA100" s="15">
        <f t="shared" ca="1" si="32"/>
        <v>0</v>
      </c>
      <c r="AB100" s="15"/>
      <c r="AC100" s="15" t="str">
        <f t="shared" ca="1" si="33"/>
        <v>NoNo</v>
      </c>
      <c r="AD100" s="15"/>
      <c r="AE100" s="15">
        <f t="shared" ca="1" si="34"/>
        <v>0</v>
      </c>
      <c r="AF100" s="16">
        <f t="shared" ca="1" si="35"/>
        <v>0</v>
      </c>
      <c r="AG100" s="16" t="str">
        <f t="shared" ca="1" si="36"/>
        <v>No_Action</v>
      </c>
      <c r="AH100" s="15"/>
      <c r="AI100" s="15" t="str">
        <f t="shared" ca="1" si="37"/>
        <v>No_Action</v>
      </c>
      <c r="AJ100" s="15">
        <f t="shared" ca="1" si="38"/>
        <v>0</v>
      </c>
      <c r="AK100" s="15">
        <f t="shared" ca="1" si="39"/>
        <v>0</v>
      </c>
    </row>
    <row r="101" spans="1:37" ht="14.5" customHeight="1" x14ac:dyDescent="0.35">
      <c r="A101" s="12" t="s">
        <v>117</v>
      </c>
      <c r="B101" s="13">
        <f ca="1">IFERROR(__xludf.DUMMYFUNCTION("GOOGLEFINANCE(""NSE:""&amp;A101,""PRICE"")"),623)</f>
        <v>623</v>
      </c>
      <c r="C101" s="13">
        <f ca="1">IFERROR(__xludf.DUMMYFUNCTION("GOOGLEFINANCE(""NSE:""&amp;A101,""PRICEOPEN"")"),643.05)</f>
        <v>643.04999999999995</v>
      </c>
      <c r="D101" s="13">
        <f ca="1">IFERROR(__xludf.DUMMYFUNCTION("GOOGLEFINANCE(""NSE:""&amp;A101,""HIGH"")"),645)</f>
        <v>645</v>
      </c>
      <c r="E101" s="13">
        <f ca="1">IFERROR(__xludf.DUMMYFUNCTION("GOOGLEFINANCE(""NSE:""&amp;A101,""LOW"")"),618.4)</f>
        <v>618.4</v>
      </c>
      <c r="F101" s="13">
        <f ca="1">IFERROR(__xludf.DUMMYFUNCTION("GOOGLEFINANCE(""NSE:""&amp;A101,""closeyest"")"),642.5)</f>
        <v>642.5</v>
      </c>
      <c r="G101" s="14">
        <f t="shared" ca="1" si="20"/>
        <v>-3.2182985553771998E-2</v>
      </c>
      <c r="H101" s="13">
        <f ca="1">IFERROR(__xludf.DUMMYFUNCTION("GOOGLEFINANCE(""NSE:""&amp;A101,""VOLUME"")"),705249)</f>
        <v>705249</v>
      </c>
      <c r="I101" s="13" t="str">
        <f ca="1">IFERROR(__xludf.DUMMYFUNCTION("AVERAGE(index(GOOGLEFINANCE(""NSE:""&amp;$A101, ""volume"", today()-21, today()-1), , 2))"),"#N/A")</f>
        <v>#N/A</v>
      </c>
      <c r="J101" s="14" t="e">
        <f t="shared" ca="1" si="21"/>
        <v>#VALUE!</v>
      </c>
      <c r="K101" s="13" t="str">
        <f ca="1">IFERROR(__xludf.DUMMYFUNCTION("AVERAGE(index(GOOGLEFINANCE(""NSE:""&amp;$A101, ""close"", today()-6, today()-1), , 2))"),"#N/A")</f>
        <v>#N/A</v>
      </c>
      <c r="L101" s="13" t="str">
        <f ca="1">IFERROR(__xludf.DUMMYFUNCTION("AVERAGE(index(GOOGLEFINANCE(""NSE:""&amp;$A101, ""close"", today()-14, today()-1), , 2))"),"#N/A")</f>
        <v>#N/A</v>
      </c>
      <c r="M101" s="13" t="str">
        <f ca="1">IFERROR(__xludf.DUMMYFUNCTION("AVERAGE(index(GOOGLEFINANCE(""NSE:""&amp;$A101, ""close"", today()-22, today()-1), , 2))"),"#N/A")</f>
        <v>#N/A</v>
      </c>
      <c r="N101" s="13" t="str">
        <f t="shared" ca="1" si="22"/>
        <v>No_Action</v>
      </c>
      <c r="O101" s="13" t="str">
        <f t="shared" ca="1" si="23"/>
        <v>No_Action</v>
      </c>
      <c r="P101" s="13" t="str">
        <f t="shared" ca="1" si="24"/>
        <v>No_Action</v>
      </c>
      <c r="Q101" s="13" t="str">
        <f t="shared" ca="1" si="25"/>
        <v>No_Action</v>
      </c>
      <c r="R101" s="15"/>
      <c r="S101" s="15" t="str">
        <f t="shared" ca="1" si="26"/>
        <v>NoNo</v>
      </c>
      <c r="T101" s="15"/>
      <c r="U101" s="15">
        <f t="shared" ca="1" si="27"/>
        <v>0</v>
      </c>
      <c r="V101" s="15">
        <f t="shared" ca="1" si="28"/>
        <v>0</v>
      </c>
      <c r="W101" s="15" t="str">
        <f t="shared" ca="1" si="29"/>
        <v>No_Action</v>
      </c>
      <c r="X101" s="15"/>
      <c r="Y101" s="15" t="str">
        <f t="shared" ca="1" si="30"/>
        <v>No_Action</v>
      </c>
      <c r="Z101" s="15">
        <f t="shared" ca="1" si="31"/>
        <v>0</v>
      </c>
      <c r="AA101" s="15">
        <f t="shared" ca="1" si="32"/>
        <v>0</v>
      </c>
      <c r="AB101" s="15"/>
      <c r="AC101" s="15" t="str">
        <f t="shared" ca="1" si="33"/>
        <v>NoNo</v>
      </c>
      <c r="AD101" s="15"/>
      <c r="AE101" s="15">
        <f t="shared" ca="1" si="34"/>
        <v>0</v>
      </c>
      <c r="AF101" s="16">
        <f t="shared" ca="1" si="35"/>
        <v>0</v>
      </c>
      <c r="AG101" s="16" t="str">
        <f t="shared" ca="1" si="36"/>
        <v>No_Action</v>
      </c>
      <c r="AH101" s="15"/>
      <c r="AI101" s="15" t="str">
        <f t="shared" ca="1" si="37"/>
        <v>No_Action</v>
      </c>
      <c r="AJ101" s="15">
        <f t="shared" ca="1" si="38"/>
        <v>0</v>
      </c>
      <c r="AK101" s="15">
        <f t="shared" ca="1" si="39"/>
        <v>0</v>
      </c>
    </row>
    <row r="102" spans="1:37" ht="14.5" customHeight="1" x14ac:dyDescent="0.35">
      <c r="A102" s="12" t="s">
        <v>118</v>
      </c>
      <c r="B102" s="13">
        <f ca="1">IFERROR(__xludf.DUMMYFUNCTION("GOOGLEFINANCE(""NSE:""&amp;A102,""PRICE"")"),2118)</f>
        <v>2118</v>
      </c>
      <c r="C102" s="13">
        <f ca="1">IFERROR(__xludf.DUMMYFUNCTION("GOOGLEFINANCE(""NSE:""&amp;A102,""PRICEOPEN"")"),2084)</f>
        <v>2084</v>
      </c>
      <c r="D102" s="13">
        <f ca="1">IFERROR(__xludf.DUMMYFUNCTION("GOOGLEFINANCE(""NSE:""&amp;A102,""HIGH"")"),2172.9)</f>
        <v>2172.9</v>
      </c>
      <c r="E102" s="13">
        <f ca="1">IFERROR(__xludf.DUMMYFUNCTION("GOOGLEFINANCE(""NSE:""&amp;A102,""LOW"")"),2084)</f>
        <v>2084</v>
      </c>
      <c r="F102" s="13">
        <f ca="1">IFERROR(__xludf.DUMMYFUNCTION("GOOGLEFINANCE(""NSE:""&amp;A102,""closeyest"")"),2084)</f>
        <v>2084</v>
      </c>
      <c r="G102" s="14">
        <f t="shared" ca="1" si="20"/>
        <v>1.6052880075542966E-2</v>
      </c>
      <c r="H102" s="13">
        <f ca="1">IFERROR(__xludf.DUMMYFUNCTION("GOOGLEFINANCE(""NSE:""&amp;A102,""VOLUME"")"),66922)</f>
        <v>66922</v>
      </c>
      <c r="I102" s="13" t="str">
        <f ca="1">IFERROR(__xludf.DUMMYFUNCTION("AVERAGE(index(GOOGLEFINANCE(""NSE:""&amp;$A102, ""volume"", today()-21, today()-1), , 2))"),"#N/A")</f>
        <v>#N/A</v>
      </c>
      <c r="J102" s="14" t="e">
        <f t="shared" ca="1" si="21"/>
        <v>#VALUE!</v>
      </c>
      <c r="K102" s="13" t="str">
        <f ca="1">IFERROR(__xludf.DUMMYFUNCTION("AVERAGE(index(GOOGLEFINANCE(""NSE:""&amp;$A102, ""close"", today()-6, today()-1), , 2))"),"#N/A")</f>
        <v>#N/A</v>
      </c>
      <c r="L102" s="13" t="str">
        <f ca="1">IFERROR(__xludf.DUMMYFUNCTION("AVERAGE(index(GOOGLEFINANCE(""NSE:""&amp;$A102, ""close"", today()-14, today()-1), , 2))"),"#N/A")</f>
        <v>#N/A</v>
      </c>
      <c r="M102" s="13" t="str">
        <f ca="1">IFERROR(__xludf.DUMMYFUNCTION("AVERAGE(index(GOOGLEFINANCE(""NSE:""&amp;$A102, ""close"", today()-22, today()-1), , 2))"),"#N/A")</f>
        <v>#N/A</v>
      </c>
      <c r="N102" s="13" t="str">
        <f t="shared" ca="1" si="22"/>
        <v>No_Action</v>
      </c>
      <c r="O102" s="13" t="str">
        <f t="shared" ca="1" si="23"/>
        <v>No_Action</v>
      </c>
      <c r="P102" s="13" t="str">
        <f t="shared" ca="1" si="24"/>
        <v>No_Action</v>
      </c>
      <c r="Q102" s="13" t="str">
        <f t="shared" ca="1" si="25"/>
        <v>No_Action</v>
      </c>
      <c r="R102" s="15"/>
      <c r="S102" s="15" t="str">
        <f t="shared" ca="1" si="26"/>
        <v>NoNo</v>
      </c>
      <c r="T102" s="15"/>
      <c r="U102" s="15">
        <f t="shared" ca="1" si="27"/>
        <v>0</v>
      </c>
      <c r="V102" s="15">
        <f t="shared" ca="1" si="28"/>
        <v>0</v>
      </c>
      <c r="W102" s="15" t="str">
        <f t="shared" ca="1" si="29"/>
        <v>No_Action</v>
      </c>
      <c r="X102" s="15"/>
      <c r="Y102" s="15" t="str">
        <f t="shared" ca="1" si="30"/>
        <v>No_Action</v>
      </c>
      <c r="Z102" s="15">
        <f t="shared" ca="1" si="31"/>
        <v>0</v>
      </c>
      <c r="AA102" s="15">
        <f t="shared" ca="1" si="32"/>
        <v>0</v>
      </c>
      <c r="AB102" s="15"/>
      <c r="AC102" s="15" t="str">
        <f t="shared" ca="1" si="33"/>
        <v>NoNo</v>
      </c>
      <c r="AD102" s="15"/>
      <c r="AE102" s="15">
        <f t="shared" ca="1" si="34"/>
        <v>0</v>
      </c>
      <c r="AF102" s="16">
        <f t="shared" ca="1" si="35"/>
        <v>0</v>
      </c>
      <c r="AG102" s="16" t="str">
        <f t="shared" ca="1" si="36"/>
        <v>No_Action</v>
      </c>
      <c r="AH102" s="15"/>
      <c r="AI102" s="15" t="str">
        <f t="shared" ca="1" si="37"/>
        <v>No_Action</v>
      </c>
      <c r="AJ102" s="15">
        <f t="shared" ca="1" si="38"/>
        <v>0</v>
      </c>
      <c r="AK102" s="15">
        <f t="shared" ca="1" si="39"/>
        <v>0</v>
      </c>
    </row>
    <row r="103" spans="1:37" ht="14.5" customHeight="1" x14ac:dyDescent="0.35">
      <c r="A103" s="12" t="s">
        <v>119</v>
      </c>
      <c r="B103" s="13">
        <f ca="1">IFERROR(__xludf.DUMMYFUNCTION("GOOGLEFINANCE(""NSE:""&amp;A103,""PRICE"")"),1503.4)</f>
        <v>1503.4</v>
      </c>
      <c r="C103" s="13">
        <f ca="1">IFERROR(__xludf.DUMMYFUNCTION("GOOGLEFINANCE(""NSE:""&amp;A103,""PRICEOPEN"")"),1464.3)</f>
        <v>1464.3</v>
      </c>
      <c r="D103" s="13">
        <f ca="1">IFERROR(__xludf.DUMMYFUNCTION("GOOGLEFINANCE(""NSE:""&amp;A103,""HIGH"")"),1508.9)</f>
        <v>1508.9</v>
      </c>
      <c r="E103" s="13">
        <f ca="1">IFERROR(__xludf.DUMMYFUNCTION("GOOGLEFINANCE(""NSE:""&amp;A103,""LOW"")"),1459)</f>
        <v>1459</v>
      </c>
      <c r="F103" s="13">
        <f ca="1">IFERROR(__xludf.DUMMYFUNCTION("GOOGLEFINANCE(""NSE:""&amp;A103,""closeyest"")"),1458.6)</f>
        <v>1458.6</v>
      </c>
      <c r="G103" s="14">
        <f t="shared" ca="1" si="20"/>
        <v>2.6007715844086825E-2</v>
      </c>
      <c r="H103" s="13">
        <f ca="1">IFERROR(__xludf.DUMMYFUNCTION("GOOGLEFINANCE(""NSE:""&amp;A103,""VOLUME"")"),123427)</f>
        <v>123427</v>
      </c>
      <c r="I103" s="13" t="str">
        <f ca="1">IFERROR(__xludf.DUMMYFUNCTION("AVERAGE(index(GOOGLEFINANCE(""NSE:""&amp;$A103, ""volume"", today()-21, today()-1), , 2))"),"#N/A")</f>
        <v>#N/A</v>
      </c>
      <c r="J103" s="14" t="e">
        <f t="shared" ca="1" si="21"/>
        <v>#VALUE!</v>
      </c>
      <c r="K103" s="13" t="str">
        <f ca="1">IFERROR(__xludf.DUMMYFUNCTION("AVERAGE(index(GOOGLEFINANCE(""NSE:""&amp;$A103, ""close"", today()-6, today()-1), , 2))"),"#N/A")</f>
        <v>#N/A</v>
      </c>
      <c r="L103" s="13" t="str">
        <f ca="1">IFERROR(__xludf.DUMMYFUNCTION("AVERAGE(index(GOOGLEFINANCE(""NSE:""&amp;$A103, ""close"", today()-14, today()-1), , 2))"),"#N/A")</f>
        <v>#N/A</v>
      </c>
      <c r="M103" s="13" t="str">
        <f ca="1">IFERROR(__xludf.DUMMYFUNCTION("AVERAGE(index(GOOGLEFINANCE(""NSE:""&amp;$A103, ""close"", today()-22, today()-1), , 2))"),"#N/A")</f>
        <v>#N/A</v>
      </c>
      <c r="N103" s="13" t="str">
        <f t="shared" ca="1" si="22"/>
        <v>No_Action</v>
      </c>
      <c r="O103" s="13" t="str">
        <f t="shared" ca="1" si="23"/>
        <v>No_Action</v>
      </c>
      <c r="P103" s="13" t="str">
        <f t="shared" ca="1" si="24"/>
        <v>No_Action</v>
      </c>
      <c r="Q103" s="13" t="str">
        <f t="shared" ca="1" si="25"/>
        <v>No_Action</v>
      </c>
      <c r="R103" s="15"/>
      <c r="S103" s="15" t="str">
        <f t="shared" ca="1" si="26"/>
        <v>NoNo</v>
      </c>
      <c r="T103" s="15"/>
      <c r="U103" s="15">
        <f t="shared" ca="1" si="27"/>
        <v>0</v>
      </c>
      <c r="V103" s="15">
        <f t="shared" ca="1" si="28"/>
        <v>0</v>
      </c>
      <c r="W103" s="15" t="str">
        <f t="shared" ca="1" si="29"/>
        <v>No_Action</v>
      </c>
      <c r="X103" s="15"/>
      <c r="Y103" s="15" t="str">
        <f t="shared" ca="1" si="30"/>
        <v>No_Action</v>
      </c>
      <c r="Z103" s="15">
        <f t="shared" ca="1" si="31"/>
        <v>0</v>
      </c>
      <c r="AA103" s="15">
        <f t="shared" ca="1" si="32"/>
        <v>0</v>
      </c>
      <c r="AB103" s="15"/>
      <c r="AC103" s="15" t="str">
        <f t="shared" ca="1" si="33"/>
        <v>NoNo</v>
      </c>
      <c r="AD103" s="15"/>
      <c r="AE103" s="15">
        <f t="shared" ca="1" si="34"/>
        <v>0</v>
      </c>
      <c r="AF103" s="16">
        <f t="shared" ca="1" si="35"/>
        <v>0</v>
      </c>
      <c r="AG103" s="16" t="str">
        <f t="shared" ca="1" si="36"/>
        <v>No_Action</v>
      </c>
      <c r="AH103" s="15"/>
      <c r="AI103" s="15" t="str">
        <f t="shared" ca="1" si="37"/>
        <v>No_Action</v>
      </c>
      <c r="AJ103" s="15">
        <f t="shared" ca="1" si="38"/>
        <v>0</v>
      </c>
      <c r="AK103" s="15">
        <f t="shared" ca="1" si="39"/>
        <v>0</v>
      </c>
    </row>
    <row r="104" spans="1:37" ht="14.5" customHeight="1" x14ac:dyDescent="0.35">
      <c r="A104" s="12" t="s">
        <v>120</v>
      </c>
      <c r="B104" s="13">
        <f ca="1">IFERROR(__xludf.DUMMYFUNCTION("GOOGLEFINANCE(""NSE:""&amp;A104,""PRICE"")"),3538)</f>
        <v>3538</v>
      </c>
      <c r="C104" s="13">
        <f ca="1">IFERROR(__xludf.DUMMYFUNCTION("GOOGLEFINANCE(""NSE:""&amp;A104,""PRICEOPEN"")"),3531)</f>
        <v>3531</v>
      </c>
      <c r="D104" s="13">
        <f ca="1">IFERROR(__xludf.DUMMYFUNCTION("GOOGLEFINANCE(""NSE:""&amp;A104,""HIGH"")"),3580)</f>
        <v>3580</v>
      </c>
      <c r="E104" s="13">
        <f ca="1">IFERROR(__xludf.DUMMYFUNCTION("GOOGLEFINANCE(""NSE:""&amp;A104,""LOW"")"),3521.55)</f>
        <v>3521.55</v>
      </c>
      <c r="F104" s="13">
        <f ca="1">IFERROR(__xludf.DUMMYFUNCTION("GOOGLEFINANCE(""NSE:""&amp;A104,""closeyest"")"),3524.8)</f>
        <v>3524.8</v>
      </c>
      <c r="G104" s="14">
        <f t="shared" ca="1" si="20"/>
        <v>1.978518937252685E-3</v>
      </c>
      <c r="H104" s="13">
        <f ca="1">IFERROR(__xludf.DUMMYFUNCTION("GOOGLEFINANCE(""NSE:""&amp;A104,""VOLUME"")"),133373)</f>
        <v>133373</v>
      </c>
      <c r="I104" s="13" t="str">
        <f ca="1">IFERROR(__xludf.DUMMYFUNCTION("AVERAGE(index(GOOGLEFINANCE(""NSE:""&amp;$A104, ""volume"", today()-21, today()-1), , 2))"),"#N/A")</f>
        <v>#N/A</v>
      </c>
      <c r="J104" s="14" t="e">
        <f t="shared" ca="1" si="21"/>
        <v>#VALUE!</v>
      </c>
      <c r="K104" s="13" t="str">
        <f ca="1">IFERROR(__xludf.DUMMYFUNCTION("AVERAGE(index(GOOGLEFINANCE(""NSE:""&amp;$A104, ""close"", today()-6, today()-1), , 2))"),"#N/A")</f>
        <v>#N/A</v>
      </c>
      <c r="L104" s="13" t="str">
        <f ca="1">IFERROR(__xludf.DUMMYFUNCTION("AVERAGE(index(GOOGLEFINANCE(""NSE:""&amp;$A104, ""close"", today()-14, today()-1), , 2))"),"#N/A")</f>
        <v>#N/A</v>
      </c>
      <c r="M104" s="13" t="str">
        <f ca="1">IFERROR(__xludf.DUMMYFUNCTION("AVERAGE(index(GOOGLEFINANCE(""NSE:""&amp;$A104, ""close"", today()-22, today()-1), , 2))"),"#N/A")</f>
        <v>#N/A</v>
      </c>
      <c r="N104" s="13" t="str">
        <f t="shared" ca="1" si="22"/>
        <v>No_Action</v>
      </c>
      <c r="O104" s="13" t="str">
        <f t="shared" ca="1" si="23"/>
        <v>No_Action</v>
      </c>
      <c r="P104" s="13" t="str">
        <f t="shared" ca="1" si="24"/>
        <v>No_Action</v>
      </c>
      <c r="Q104" s="13" t="str">
        <f t="shared" ca="1" si="25"/>
        <v>No_Action</v>
      </c>
      <c r="R104" s="15"/>
      <c r="S104" s="15" t="str">
        <f t="shared" ca="1" si="26"/>
        <v>NoNo</v>
      </c>
      <c r="T104" s="15"/>
      <c r="U104" s="15">
        <f t="shared" ca="1" si="27"/>
        <v>0</v>
      </c>
      <c r="V104" s="15">
        <f t="shared" ca="1" si="28"/>
        <v>0</v>
      </c>
      <c r="W104" s="15" t="str">
        <f t="shared" ca="1" si="29"/>
        <v>No_Action</v>
      </c>
      <c r="X104" s="15"/>
      <c r="Y104" s="15" t="str">
        <f t="shared" ca="1" si="30"/>
        <v>No_Action</v>
      </c>
      <c r="Z104" s="15">
        <f t="shared" ca="1" si="31"/>
        <v>0</v>
      </c>
      <c r="AA104" s="15">
        <f t="shared" ca="1" si="32"/>
        <v>0</v>
      </c>
      <c r="AB104" s="15"/>
      <c r="AC104" s="15" t="str">
        <f t="shared" ca="1" si="33"/>
        <v>NoNo</v>
      </c>
      <c r="AD104" s="15"/>
      <c r="AE104" s="15">
        <f t="shared" ca="1" si="34"/>
        <v>0</v>
      </c>
      <c r="AF104" s="16">
        <f t="shared" ca="1" si="35"/>
        <v>0</v>
      </c>
      <c r="AG104" s="16" t="str">
        <f t="shared" ca="1" si="36"/>
        <v>No_Action</v>
      </c>
      <c r="AH104" s="15"/>
      <c r="AI104" s="15" t="str">
        <f t="shared" ca="1" si="37"/>
        <v>No_Action</v>
      </c>
      <c r="AJ104" s="15">
        <f t="shared" ca="1" si="38"/>
        <v>0</v>
      </c>
      <c r="AK104" s="15">
        <f t="shared" ca="1" si="39"/>
        <v>0</v>
      </c>
    </row>
    <row r="105" spans="1:37" ht="14.5" customHeight="1" x14ac:dyDescent="0.35">
      <c r="A105" s="12" t="s">
        <v>121</v>
      </c>
      <c r="B105" s="13">
        <f ca="1">IFERROR(__xludf.DUMMYFUNCTION("GOOGLEFINANCE(""NSE:""&amp;A105,""PRICE"")"),225.84)</f>
        <v>225.84</v>
      </c>
      <c r="C105" s="13">
        <f ca="1">IFERROR(__xludf.DUMMYFUNCTION("GOOGLEFINANCE(""NSE:""&amp;A105,""PRICEOPEN"")"),225.85)</f>
        <v>225.85</v>
      </c>
      <c r="D105" s="13">
        <f ca="1">IFERROR(__xludf.DUMMYFUNCTION("GOOGLEFINANCE(""NSE:""&amp;A105,""HIGH"")"),231.57)</f>
        <v>231.57</v>
      </c>
      <c r="E105" s="13">
        <f ca="1">IFERROR(__xludf.DUMMYFUNCTION("GOOGLEFINANCE(""NSE:""&amp;A105,""LOW"")"),223.9)</f>
        <v>223.9</v>
      </c>
      <c r="F105" s="13">
        <f ca="1">IFERROR(__xludf.DUMMYFUNCTION("GOOGLEFINANCE(""NSE:""&amp;A105,""closeyest"")"),225.57)</f>
        <v>225.57</v>
      </c>
      <c r="G105" s="14">
        <f t="shared" ca="1" si="20"/>
        <v>-4.4279135671231425E-5</v>
      </c>
      <c r="H105" s="13">
        <f ca="1">IFERROR(__xludf.DUMMYFUNCTION("GOOGLEFINANCE(""NSE:""&amp;A105,""VOLUME"")"),2182376)</f>
        <v>2182376</v>
      </c>
      <c r="I105" s="13" t="str">
        <f ca="1">IFERROR(__xludf.DUMMYFUNCTION("AVERAGE(index(GOOGLEFINANCE(""NSE:""&amp;$A105, ""volume"", today()-21, today()-1), , 2))"),"#N/A")</f>
        <v>#N/A</v>
      </c>
      <c r="J105" s="14" t="e">
        <f t="shared" ca="1" si="21"/>
        <v>#VALUE!</v>
      </c>
      <c r="K105" s="13" t="str">
        <f ca="1">IFERROR(__xludf.DUMMYFUNCTION("AVERAGE(index(GOOGLEFINANCE(""NSE:""&amp;$A105, ""close"", today()-6, today()-1), , 2))"),"#N/A")</f>
        <v>#N/A</v>
      </c>
      <c r="L105" s="13" t="str">
        <f ca="1">IFERROR(__xludf.DUMMYFUNCTION("AVERAGE(index(GOOGLEFINANCE(""NSE:""&amp;$A105, ""close"", today()-14, today()-1), , 2))"),"#N/A")</f>
        <v>#N/A</v>
      </c>
      <c r="M105" s="13" t="str">
        <f ca="1">IFERROR(__xludf.DUMMYFUNCTION("AVERAGE(index(GOOGLEFINANCE(""NSE:""&amp;$A105, ""close"", today()-22, today()-1), , 2))"),"#N/A")</f>
        <v>#N/A</v>
      </c>
      <c r="N105" s="13" t="str">
        <f t="shared" ca="1" si="22"/>
        <v>No_Action</v>
      </c>
      <c r="O105" s="13" t="str">
        <f t="shared" ca="1" si="23"/>
        <v>No_Action</v>
      </c>
      <c r="P105" s="13" t="str">
        <f t="shared" ca="1" si="24"/>
        <v>No_Action</v>
      </c>
      <c r="Q105" s="13" t="str">
        <f t="shared" ca="1" si="25"/>
        <v>No_Action</v>
      </c>
      <c r="R105" s="15"/>
      <c r="S105" s="15" t="str">
        <f t="shared" ca="1" si="26"/>
        <v>NoNo</v>
      </c>
      <c r="T105" s="15"/>
      <c r="U105" s="15">
        <f t="shared" ca="1" si="27"/>
        <v>0</v>
      </c>
      <c r="V105" s="15">
        <f t="shared" ca="1" si="28"/>
        <v>0</v>
      </c>
      <c r="W105" s="15" t="str">
        <f t="shared" ca="1" si="29"/>
        <v>No_Action</v>
      </c>
      <c r="X105" s="15"/>
      <c r="Y105" s="15" t="str">
        <f t="shared" ca="1" si="30"/>
        <v>No_Action</v>
      </c>
      <c r="Z105" s="15">
        <f t="shared" ca="1" si="31"/>
        <v>0</v>
      </c>
      <c r="AA105" s="15">
        <f t="shared" ca="1" si="32"/>
        <v>0</v>
      </c>
      <c r="AB105" s="15"/>
      <c r="AC105" s="15" t="str">
        <f t="shared" ca="1" si="33"/>
        <v>NoNo</v>
      </c>
      <c r="AD105" s="15"/>
      <c r="AE105" s="15">
        <f t="shared" ca="1" si="34"/>
        <v>0</v>
      </c>
      <c r="AF105" s="16">
        <f t="shared" ca="1" si="35"/>
        <v>0</v>
      </c>
      <c r="AG105" s="16" t="str">
        <f t="shared" ca="1" si="36"/>
        <v>No_Action</v>
      </c>
      <c r="AH105" s="15"/>
      <c r="AI105" s="15" t="str">
        <f t="shared" ca="1" si="37"/>
        <v>No_Action</v>
      </c>
      <c r="AJ105" s="15">
        <f t="shared" ca="1" si="38"/>
        <v>0</v>
      </c>
      <c r="AK105" s="15">
        <f t="shared" ca="1" si="39"/>
        <v>0</v>
      </c>
    </row>
    <row r="106" spans="1:37" ht="14.5" customHeight="1" x14ac:dyDescent="0.35">
      <c r="A106" s="12" t="s">
        <v>122</v>
      </c>
      <c r="B106" s="13">
        <f ca="1">IFERROR(__xludf.DUMMYFUNCTION("GOOGLEFINANCE(""NSE:""&amp;A106,""PRICE"")"),448)</f>
        <v>448</v>
      </c>
      <c r="C106" s="13">
        <f ca="1">IFERROR(__xludf.DUMMYFUNCTION("GOOGLEFINANCE(""NSE:""&amp;A106,""PRICEOPEN"")"),443.85)</f>
        <v>443.85</v>
      </c>
      <c r="D106" s="13">
        <f ca="1">IFERROR(__xludf.DUMMYFUNCTION("GOOGLEFINANCE(""NSE:""&amp;A106,""HIGH"")"),454.5)</f>
        <v>454.5</v>
      </c>
      <c r="E106" s="13">
        <f ca="1">IFERROR(__xludf.DUMMYFUNCTION("GOOGLEFINANCE(""NSE:""&amp;A106,""LOW"")"),435.6)</f>
        <v>435.6</v>
      </c>
      <c r="F106" s="13">
        <f ca="1">IFERROR(__xludf.DUMMYFUNCTION("GOOGLEFINANCE(""NSE:""&amp;A106,""closeyest"")"),437.7)</f>
        <v>437.7</v>
      </c>
      <c r="G106" s="14">
        <f t="shared" ca="1" si="20"/>
        <v>9.2633928571428069E-3</v>
      </c>
      <c r="H106" s="13">
        <f ca="1">IFERROR(__xludf.DUMMYFUNCTION("GOOGLEFINANCE(""NSE:""&amp;A106,""VOLUME"")"),21224)</f>
        <v>21224</v>
      </c>
      <c r="I106" s="13" t="str">
        <f ca="1">IFERROR(__xludf.DUMMYFUNCTION("AVERAGE(index(GOOGLEFINANCE(""NSE:""&amp;$A106, ""volume"", today()-21, today()-1), , 2))"),"#N/A")</f>
        <v>#N/A</v>
      </c>
      <c r="J106" s="14" t="e">
        <f t="shared" ca="1" si="21"/>
        <v>#VALUE!</v>
      </c>
      <c r="K106" s="13" t="str">
        <f ca="1">IFERROR(__xludf.DUMMYFUNCTION("AVERAGE(index(GOOGLEFINANCE(""NSE:""&amp;$A106, ""close"", today()-6, today()-1), , 2))"),"#N/A")</f>
        <v>#N/A</v>
      </c>
      <c r="L106" s="13" t="str">
        <f ca="1">IFERROR(__xludf.DUMMYFUNCTION("AVERAGE(index(GOOGLEFINANCE(""NSE:""&amp;$A106, ""close"", today()-14, today()-1), , 2))"),"#N/A")</f>
        <v>#N/A</v>
      </c>
      <c r="M106" s="13" t="str">
        <f ca="1">IFERROR(__xludf.DUMMYFUNCTION("AVERAGE(index(GOOGLEFINANCE(""NSE:""&amp;$A106, ""close"", today()-22, today()-1), , 2))"),"#N/A")</f>
        <v>#N/A</v>
      </c>
      <c r="N106" s="13" t="str">
        <f t="shared" ca="1" si="22"/>
        <v>No_Action</v>
      </c>
      <c r="O106" s="13" t="str">
        <f t="shared" ca="1" si="23"/>
        <v>No_Action</v>
      </c>
      <c r="P106" s="13" t="str">
        <f t="shared" ca="1" si="24"/>
        <v>No_Action</v>
      </c>
      <c r="Q106" s="13" t="str">
        <f t="shared" ca="1" si="25"/>
        <v>No_Action</v>
      </c>
      <c r="R106" s="15"/>
      <c r="S106" s="15" t="str">
        <f t="shared" ca="1" si="26"/>
        <v>NoNo</v>
      </c>
      <c r="T106" s="15"/>
      <c r="U106" s="15">
        <f t="shared" ca="1" si="27"/>
        <v>0</v>
      </c>
      <c r="V106" s="15">
        <f t="shared" ca="1" si="28"/>
        <v>0</v>
      </c>
      <c r="W106" s="15" t="str">
        <f t="shared" ca="1" si="29"/>
        <v>No_Action</v>
      </c>
      <c r="X106" s="15"/>
      <c r="Y106" s="15" t="str">
        <f t="shared" ca="1" si="30"/>
        <v>No_Action</v>
      </c>
      <c r="Z106" s="15">
        <f t="shared" ca="1" si="31"/>
        <v>0</v>
      </c>
      <c r="AA106" s="15">
        <f t="shared" ca="1" si="32"/>
        <v>0</v>
      </c>
      <c r="AB106" s="15"/>
      <c r="AC106" s="15" t="str">
        <f t="shared" ca="1" si="33"/>
        <v>NoNo</v>
      </c>
      <c r="AD106" s="15"/>
      <c r="AE106" s="15">
        <f t="shared" ca="1" si="34"/>
        <v>0</v>
      </c>
      <c r="AF106" s="16">
        <f t="shared" ca="1" si="35"/>
        <v>0</v>
      </c>
      <c r="AG106" s="16" t="str">
        <f t="shared" ca="1" si="36"/>
        <v>No_Action</v>
      </c>
      <c r="AH106" s="15"/>
      <c r="AI106" s="15" t="str">
        <f t="shared" ca="1" si="37"/>
        <v>No_Action</v>
      </c>
      <c r="AJ106" s="15">
        <f t="shared" ca="1" si="38"/>
        <v>0</v>
      </c>
      <c r="AK106" s="15">
        <f t="shared" ca="1" si="39"/>
        <v>0</v>
      </c>
    </row>
    <row r="107" spans="1:37" ht="14.5" customHeight="1" x14ac:dyDescent="0.35">
      <c r="A107" s="12" t="s">
        <v>123</v>
      </c>
      <c r="B107" s="13">
        <f ca="1">IFERROR(__xludf.DUMMYFUNCTION("GOOGLEFINANCE(""NSE:""&amp;A107,""PRICE"")"),512.5)</f>
        <v>512.5</v>
      </c>
      <c r="C107" s="13">
        <f ca="1">IFERROR(__xludf.DUMMYFUNCTION("GOOGLEFINANCE(""NSE:""&amp;A107,""PRICEOPEN"")"),514)</f>
        <v>514</v>
      </c>
      <c r="D107" s="13">
        <f ca="1">IFERROR(__xludf.DUMMYFUNCTION("GOOGLEFINANCE(""NSE:""&amp;A107,""HIGH"")"),519)</f>
        <v>519</v>
      </c>
      <c r="E107" s="13">
        <f ca="1">IFERROR(__xludf.DUMMYFUNCTION("GOOGLEFINANCE(""NSE:""&amp;A107,""LOW"")"),508.8)</f>
        <v>508.8</v>
      </c>
      <c r="F107" s="13">
        <f ca="1">IFERROR(__xludf.DUMMYFUNCTION("GOOGLEFINANCE(""NSE:""&amp;A107,""closeyest"")"),514.65)</f>
        <v>514.65</v>
      </c>
      <c r="G107" s="14">
        <f t="shared" ca="1" si="20"/>
        <v>-2.9268292682926829E-3</v>
      </c>
      <c r="H107" s="13">
        <f ca="1">IFERROR(__xludf.DUMMYFUNCTION("GOOGLEFINANCE(""NSE:""&amp;A107,""VOLUME"")"),56880)</f>
        <v>56880</v>
      </c>
      <c r="I107" s="13" t="str">
        <f ca="1">IFERROR(__xludf.DUMMYFUNCTION("AVERAGE(index(GOOGLEFINANCE(""NSE:""&amp;$A107, ""volume"", today()-21, today()-1), , 2))"),"#N/A")</f>
        <v>#N/A</v>
      </c>
      <c r="J107" s="14" t="e">
        <f t="shared" ca="1" si="21"/>
        <v>#VALUE!</v>
      </c>
      <c r="K107" s="13" t="str">
        <f ca="1">IFERROR(__xludf.DUMMYFUNCTION("AVERAGE(index(GOOGLEFINANCE(""NSE:""&amp;$A107, ""close"", today()-6, today()-1), , 2))"),"#N/A")</f>
        <v>#N/A</v>
      </c>
      <c r="L107" s="13" t="str">
        <f ca="1">IFERROR(__xludf.DUMMYFUNCTION("AVERAGE(index(GOOGLEFINANCE(""NSE:""&amp;$A107, ""close"", today()-14, today()-1), , 2))"),"#N/A")</f>
        <v>#N/A</v>
      </c>
      <c r="M107" s="13" t="str">
        <f ca="1">IFERROR(__xludf.DUMMYFUNCTION("AVERAGE(index(GOOGLEFINANCE(""NSE:""&amp;$A107, ""close"", today()-22, today()-1), , 2))"),"#N/A")</f>
        <v>#N/A</v>
      </c>
      <c r="N107" s="13" t="str">
        <f t="shared" ca="1" si="22"/>
        <v>No_Action</v>
      </c>
      <c r="O107" s="13" t="str">
        <f t="shared" ca="1" si="23"/>
        <v>No_Action</v>
      </c>
      <c r="P107" s="13" t="str">
        <f t="shared" ca="1" si="24"/>
        <v>No_Action</v>
      </c>
      <c r="Q107" s="13" t="str">
        <f t="shared" ca="1" si="25"/>
        <v>No_Action</v>
      </c>
      <c r="R107" s="15"/>
      <c r="S107" s="15" t="str">
        <f t="shared" ca="1" si="26"/>
        <v>NoNo</v>
      </c>
      <c r="T107" s="15"/>
      <c r="U107" s="15">
        <f t="shared" ca="1" si="27"/>
        <v>0</v>
      </c>
      <c r="V107" s="15">
        <f t="shared" ca="1" si="28"/>
        <v>0</v>
      </c>
      <c r="W107" s="15" t="str">
        <f t="shared" ca="1" si="29"/>
        <v>No_Action</v>
      </c>
      <c r="X107" s="15"/>
      <c r="Y107" s="15" t="str">
        <f t="shared" ca="1" si="30"/>
        <v>No_Action</v>
      </c>
      <c r="Z107" s="15">
        <f t="shared" ca="1" si="31"/>
        <v>0</v>
      </c>
      <c r="AA107" s="15">
        <f t="shared" ca="1" si="32"/>
        <v>0</v>
      </c>
      <c r="AB107" s="15"/>
      <c r="AC107" s="15" t="str">
        <f t="shared" ca="1" si="33"/>
        <v>NoNo</v>
      </c>
      <c r="AD107" s="15"/>
      <c r="AE107" s="15">
        <f t="shared" ca="1" si="34"/>
        <v>0</v>
      </c>
      <c r="AF107" s="16">
        <f t="shared" ca="1" si="35"/>
        <v>0</v>
      </c>
      <c r="AG107" s="16" t="str">
        <f t="shared" ca="1" si="36"/>
        <v>No_Action</v>
      </c>
      <c r="AH107" s="15"/>
      <c r="AI107" s="15" t="str">
        <f t="shared" ca="1" si="37"/>
        <v>No_Action</v>
      </c>
      <c r="AJ107" s="15">
        <f t="shared" ca="1" si="38"/>
        <v>0</v>
      </c>
      <c r="AK107" s="15">
        <f t="shared" ca="1" si="39"/>
        <v>0</v>
      </c>
    </row>
    <row r="108" spans="1:37" ht="14.5" customHeight="1" x14ac:dyDescent="0.35">
      <c r="A108" s="12" t="s">
        <v>124</v>
      </c>
      <c r="B108" s="13">
        <f ca="1">IFERROR(__xludf.DUMMYFUNCTION("GOOGLEFINANCE(""NSE:""&amp;A108,""PRICE"")"),213.89)</f>
        <v>213.89</v>
      </c>
      <c r="C108" s="13">
        <f ca="1">IFERROR(__xludf.DUMMYFUNCTION("GOOGLEFINANCE(""NSE:""&amp;A108,""PRICEOPEN"")"),214.05)</f>
        <v>214.05</v>
      </c>
      <c r="D108" s="13">
        <f ca="1">IFERROR(__xludf.DUMMYFUNCTION("GOOGLEFINANCE(""NSE:""&amp;A108,""HIGH"")"),215.17)</f>
        <v>215.17</v>
      </c>
      <c r="E108" s="13">
        <f ca="1">IFERROR(__xludf.DUMMYFUNCTION("GOOGLEFINANCE(""NSE:""&amp;A108,""LOW"")"),212.31)</f>
        <v>212.31</v>
      </c>
      <c r="F108" s="13">
        <f ca="1">IFERROR(__xludf.DUMMYFUNCTION("GOOGLEFINANCE(""NSE:""&amp;A108,""closeyest"")"),213.4)</f>
        <v>213.4</v>
      </c>
      <c r="G108" s="14">
        <f t="shared" ca="1" si="20"/>
        <v>-7.480480620881061E-4</v>
      </c>
      <c r="H108" s="13">
        <f ca="1">IFERROR(__xludf.DUMMYFUNCTION("GOOGLEFINANCE(""NSE:""&amp;A108,""VOLUME"")"),4922985)</f>
        <v>4922985</v>
      </c>
      <c r="I108" s="13" t="str">
        <f ca="1">IFERROR(__xludf.DUMMYFUNCTION("AVERAGE(index(GOOGLEFINANCE(""NSE:""&amp;$A108, ""volume"", today()-21, today()-1), , 2))"),"#N/A")</f>
        <v>#N/A</v>
      </c>
      <c r="J108" s="14" t="e">
        <f t="shared" ca="1" si="21"/>
        <v>#VALUE!</v>
      </c>
      <c r="K108" s="13" t="str">
        <f ca="1">IFERROR(__xludf.DUMMYFUNCTION("AVERAGE(index(GOOGLEFINANCE(""NSE:""&amp;$A108, ""close"", today()-6, today()-1), , 2))"),"#N/A")</f>
        <v>#N/A</v>
      </c>
      <c r="L108" s="13" t="str">
        <f ca="1">IFERROR(__xludf.DUMMYFUNCTION("AVERAGE(index(GOOGLEFINANCE(""NSE:""&amp;$A108, ""close"", today()-14, today()-1), , 2))"),"#N/A")</f>
        <v>#N/A</v>
      </c>
      <c r="M108" s="13" t="str">
        <f ca="1">IFERROR(__xludf.DUMMYFUNCTION("AVERAGE(index(GOOGLEFINANCE(""NSE:""&amp;$A108, ""close"", today()-22, today()-1), , 2))"),"#N/A")</f>
        <v>#N/A</v>
      </c>
      <c r="N108" s="13" t="str">
        <f t="shared" ca="1" si="22"/>
        <v>No_Action</v>
      </c>
      <c r="O108" s="13" t="str">
        <f t="shared" ca="1" si="23"/>
        <v>No_Action</v>
      </c>
      <c r="P108" s="13" t="str">
        <f t="shared" ca="1" si="24"/>
        <v>No_Action</v>
      </c>
      <c r="Q108" s="13" t="str">
        <f t="shared" ca="1" si="25"/>
        <v>No_Action</v>
      </c>
      <c r="R108" s="15"/>
      <c r="S108" s="15" t="str">
        <f t="shared" ca="1" si="26"/>
        <v>NoNo</v>
      </c>
      <c r="T108" s="15"/>
      <c r="U108" s="15">
        <f t="shared" ca="1" si="27"/>
        <v>0</v>
      </c>
      <c r="V108" s="15">
        <f t="shared" ca="1" si="28"/>
        <v>0</v>
      </c>
      <c r="W108" s="15" t="str">
        <f t="shared" ca="1" si="29"/>
        <v>No_Action</v>
      </c>
      <c r="X108" s="15"/>
      <c r="Y108" s="15" t="str">
        <f t="shared" ca="1" si="30"/>
        <v>No_Action</v>
      </c>
      <c r="Z108" s="15">
        <f t="shared" ca="1" si="31"/>
        <v>0</v>
      </c>
      <c r="AA108" s="15">
        <f t="shared" ca="1" si="32"/>
        <v>0</v>
      </c>
      <c r="AB108" s="15"/>
      <c r="AC108" s="15" t="str">
        <f t="shared" ca="1" si="33"/>
        <v>NoNo</v>
      </c>
      <c r="AD108" s="15"/>
      <c r="AE108" s="15">
        <f t="shared" ca="1" si="34"/>
        <v>0</v>
      </c>
      <c r="AF108" s="16">
        <f t="shared" ca="1" si="35"/>
        <v>0</v>
      </c>
      <c r="AG108" s="16" t="str">
        <f t="shared" ca="1" si="36"/>
        <v>No_Action</v>
      </c>
      <c r="AH108" s="15"/>
      <c r="AI108" s="15" t="str">
        <f t="shared" ca="1" si="37"/>
        <v>No_Action</v>
      </c>
      <c r="AJ108" s="15">
        <f t="shared" ca="1" si="38"/>
        <v>0</v>
      </c>
      <c r="AK108" s="15">
        <f t="shared" ca="1" si="39"/>
        <v>0</v>
      </c>
    </row>
    <row r="109" spans="1:37" ht="14.5" customHeight="1" x14ac:dyDescent="0.35">
      <c r="A109" s="12" t="s">
        <v>125</v>
      </c>
      <c r="B109" s="13">
        <f ca="1">IFERROR(__xludf.DUMMYFUNCTION("GOOGLEFINANCE(""NSE:""&amp;A109,""PRICE"")"),5098.05)</f>
        <v>5098.05</v>
      </c>
      <c r="C109" s="13">
        <f ca="1">IFERROR(__xludf.DUMMYFUNCTION("GOOGLEFINANCE(""NSE:""&amp;A109,""PRICEOPEN"")"),5105.8)</f>
        <v>5105.8</v>
      </c>
      <c r="D109" s="13">
        <f ca="1">IFERROR(__xludf.DUMMYFUNCTION("GOOGLEFINANCE(""NSE:""&amp;A109,""HIGH"")"),5150)</f>
        <v>5150</v>
      </c>
      <c r="E109" s="13">
        <f ca="1">IFERROR(__xludf.DUMMYFUNCTION("GOOGLEFINANCE(""NSE:""&amp;A109,""LOW"")"),5060.75)</f>
        <v>5060.75</v>
      </c>
      <c r="F109" s="13">
        <f ca="1">IFERROR(__xludf.DUMMYFUNCTION("GOOGLEFINANCE(""NSE:""&amp;A109,""closeyest"")"),5115.8)</f>
        <v>5115.8</v>
      </c>
      <c r="G109" s="14">
        <f t="shared" ca="1" si="20"/>
        <v>-1.5201890919076901E-3</v>
      </c>
      <c r="H109" s="13">
        <f ca="1">IFERROR(__xludf.DUMMYFUNCTION("GOOGLEFINANCE(""NSE:""&amp;A109,""VOLUME"")"),9280)</f>
        <v>9280</v>
      </c>
      <c r="I109" s="13" t="str">
        <f ca="1">IFERROR(__xludf.DUMMYFUNCTION("AVERAGE(index(GOOGLEFINANCE(""NSE:""&amp;$A109, ""volume"", today()-21, today()-1), , 2))"),"#N/A")</f>
        <v>#N/A</v>
      </c>
      <c r="J109" s="14" t="e">
        <f t="shared" ca="1" si="21"/>
        <v>#VALUE!</v>
      </c>
      <c r="K109" s="13" t="str">
        <f ca="1">IFERROR(__xludf.DUMMYFUNCTION("AVERAGE(index(GOOGLEFINANCE(""NSE:""&amp;$A109, ""close"", today()-6, today()-1), , 2))"),"#N/A")</f>
        <v>#N/A</v>
      </c>
      <c r="L109" s="13" t="str">
        <f ca="1">IFERROR(__xludf.DUMMYFUNCTION("AVERAGE(index(GOOGLEFINANCE(""NSE:""&amp;$A109, ""close"", today()-14, today()-1), , 2))"),"#N/A")</f>
        <v>#N/A</v>
      </c>
      <c r="M109" s="13" t="str">
        <f ca="1">IFERROR(__xludf.DUMMYFUNCTION("AVERAGE(index(GOOGLEFINANCE(""NSE:""&amp;$A109, ""close"", today()-22, today()-1), , 2))"),"#N/A")</f>
        <v>#N/A</v>
      </c>
      <c r="N109" s="13" t="str">
        <f t="shared" ca="1" si="22"/>
        <v>No_Action</v>
      </c>
      <c r="O109" s="13" t="str">
        <f t="shared" ca="1" si="23"/>
        <v>No_Action</v>
      </c>
      <c r="P109" s="13" t="str">
        <f t="shared" ca="1" si="24"/>
        <v>No_Action</v>
      </c>
      <c r="Q109" s="13" t="str">
        <f t="shared" ca="1" si="25"/>
        <v>No_Action</v>
      </c>
      <c r="R109" s="15"/>
      <c r="S109" s="15" t="str">
        <f t="shared" ca="1" si="26"/>
        <v>NoNo</v>
      </c>
      <c r="T109" s="15"/>
      <c r="U109" s="15">
        <f t="shared" ca="1" si="27"/>
        <v>0</v>
      </c>
      <c r="V109" s="15">
        <f t="shared" ca="1" si="28"/>
        <v>0</v>
      </c>
      <c r="W109" s="15" t="str">
        <f t="shared" ca="1" si="29"/>
        <v>No_Action</v>
      </c>
      <c r="X109" s="15"/>
      <c r="Y109" s="15" t="str">
        <f t="shared" ca="1" si="30"/>
        <v>No_Action</v>
      </c>
      <c r="Z109" s="15">
        <f t="shared" ca="1" si="31"/>
        <v>0</v>
      </c>
      <c r="AA109" s="15">
        <f t="shared" ca="1" si="32"/>
        <v>0</v>
      </c>
      <c r="AB109" s="15"/>
      <c r="AC109" s="15" t="str">
        <f t="shared" ca="1" si="33"/>
        <v>NoNo</v>
      </c>
      <c r="AD109" s="15"/>
      <c r="AE109" s="15">
        <f t="shared" ca="1" si="34"/>
        <v>0</v>
      </c>
      <c r="AF109" s="16">
        <f t="shared" ca="1" si="35"/>
        <v>0</v>
      </c>
      <c r="AG109" s="16" t="str">
        <f t="shared" ca="1" si="36"/>
        <v>No_Action</v>
      </c>
      <c r="AH109" s="15"/>
      <c r="AI109" s="15" t="str">
        <f t="shared" ca="1" si="37"/>
        <v>No_Action</v>
      </c>
      <c r="AJ109" s="15">
        <f t="shared" ca="1" si="38"/>
        <v>0</v>
      </c>
      <c r="AK109" s="15">
        <f t="shared" ca="1" si="39"/>
        <v>0</v>
      </c>
    </row>
    <row r="110" spans="1:37" ht="14.5" customHeight="1" x14ac:dyDescent="0.35">
      <c r="A110" s="12" t="s">
        <v>126</v>
      </c>
      <c r="B110" s="13">
        <f ca="1">IFERROR(__xludf.DUMMYFUNCTION("GOOGLEFINANCE(""NSE:""&amp;A110,""PRICE"")"),351.6)</f>
        <v>351.6</v>
      </c>
      <c r="C110" s="13">
        <f ca="1">IFERROR(__xludf.DUMMYFUNCTION("GOOGLEFINANCE(""NSE:""&amp;A110,""PRICEOPEN"")"),360)</f>
        <v>360</v>
      </c>
      <c r="D110" s="13">
        <f ca="1">IFERROR(__xludf.DUMMYFUNCTION("GOOGLEFINANCE(""NSE:""&amp;A110,""HIGH"")"),361.9)</f>
        <v>361.9</v>
      </c>
      <c r="E110" s="13">
        <f ca="1">IFERROR(__xludf.DUMMYFUNCTION("GOOGLEFINANCE(""NSE:""&amp;A110,""LOW"")"),343.95)</f>
        <v>343.95</v>
      </c>
      <c r="F110" s="13">
        <f ca="1">IFERROR(__xludf.DUMMYFUNCTION("GOOGLEFINANCE(""NSE:""&amp;A110,""closeyest"")"),356.35)</f>
        <v>356.35</v>
      </c>
      <c r="G110" s="14">
        <f t="shared" ca="1" si="20"/>
        <v>-2.3890784982935086E-2</v>
      </c>
      <c r="H110" s="13">
        <f ca="1">IFERROR(__xludf.DUMMYFUNCTION("GOOGLEFINANCE(""NSE:""&amp;A110,""VOLUME"")"),191658)</f>
        <v>191658</v>
      </c>
      <c r="I110" s="13" t="str">
        <f ca="1">IFERROR(__xludf.DUMMYFUNCTION("AVERAGE(index(GOOGLEFINANCE(""NSE:""&amp;$A110, ""volume"", today()-21, today()-1), , 2))"),"#N/A")</f>
        <v>#N/A</v>
      </c>
      <c r="J110" s="14" t="e">
        <f t="shared" ca="1" si="21"/>
        <v>#VALUE!</v>
      </c>
      <c r="K110" s="13" t="str">
        <f ca="1">IFERROR(__xludf.DUMMYFUNCTION("AVERAGE(index(GOOGLEFINANCE(""NSE:""&amp;$A110, ""close"", today()-6, today()-1), , 2))"),"#N/A")</f>
        <v>#N/A</v>
      </c>
      <c r="L110" s="13" t="str">
        <f ca="1">IFERROR(__xludf.DUMMYFUNCTION("AVERAGE(index(GOOGLEFINANCE(""NSE:""&amp;$A110, ""close"", today()-14, today()-1), , 2))"),"#N/A")</f>
        <v>#N/A</v>
      </c>
      <c r="M110" s="13" t="str">
        <f ca="1">IFERROR(__xludf.DUMMYFUNCTION("AVERAGE(index(GOOGLEFINANCE(""NSE:""&amp;$A110, ""close"", today()-22, today()-1), , 2))"),"#N/A")</f>
        <v>#N/A</v>
      </c>
      <c r="N110" s="13" t="str">
        <f t="shared" ca="1" si="22"/>
        <v>No_Action</v>
      </c>
      <c r="O110" s="13" t="str">
        <f t="shared" ca="1" si="23"/>
        <v>No_Action</v>
      </c>
      <c r="P110" s="13" t="str">
        <f t="shared" ca="1" si="24"/>
        <v>No_Action</v>
      </c>
      <c r="Q110" s="13" t="str">
        <f t="shared" ca="1" si="25"/>
        <v>No_Action</v>
      </c>
      <c r="R110" s="15"/>
      <c r="S110" s="15" t="str">
        <f t="shared" ca="1" si="26"/>
        <v>NoNo</v>
      </c>
      <c r="T110" s="15"/>
      <c r="U110" s="15">
        <f t="shared" ca="1" si="27"/>
        <v>0</v>
      </c>
      <c r="V110" s="15">
        <f t="shared" ca="1" si="28"/>
        <v>0</v>
      </c>
      <c r="W110" s="15" t="str">
        <f t="shared" ca="1" si="29"/>
        <v>No_Action</v>
      </c>
      <c r="X110" s="15"/>
      <c r="Y110" s="15" t="str">
        <f t="shared" ca="1" si="30"/>
        <v>No_Action</v>
      </c>
      <c r="Z110" s="15">
        <f t="shared" ca="1" si="31"/>
        <v>0</v>
      </c>
      <c r="AA110" s="15">
        <f t="shared" ca="1" si="32"/>
        <v>0</v>
      </c>
      <c r="AB110" s="15"/>
      <c r="AC110" s="15" t="str">
        <f t="shared" ca="1" si="33"/>
        <v>NoNo</v>
      </c>
      <c r="AD110" s="15"/>
      <c r="AE110" s="15">
        <f t="shared" ca="1" si="34"/>
        <v>0</v>
      </c>
      <c r="AF110" s="16">
        <f t="shared" ca="1" si="35"/>
        <v>0</v>
      </c>
      <c r="AG110" s="16" t="str">
        <f t="shared" ca="1" si="36"/>
        <v>No_Action</v>
      </c>
      <c r="AH110" s="15"/>
      <c r="AI110" s="15" t="str">
        <f t="shared" ca="1" si="37"/>
        <v>No_Action</v>
      </c>
      <c r="AJ110" s="15">
        <f t="shared" ca="1" si="38"/>
        <v>0</v>
      </c>
      <c r="AK110" s="15">
        <f t="shared" ca="1" si="39"/>
        <v>0</v>
      </c>
    </row>
    <row r="111" spans="1:37" ht="14.5" customHeight="1" x14ac:dyDescent="0.35">
      <c r="A111" s="12" t="s">
        <v>127</v>
      </c>
      <c r="B111" s="13">
        <f ca="1">IFERROR(__xludf.DUMMYFUNCTION("GOOGLEFINANCE(""NSE:""&amp;A111,""PRICE"")"),1321.9)</f>
        <v>1321.9</v>
      </c>
      <c r="C111" s="13">
        <f ca="1">IFERROR(__xludf.DUMMYFUNCTION("GOOGLEFINANCE(""NSE:""&amp;A111,""PRICEOPEN"")"),1330)</f>
        <v>1330</v>
      </c>
      <c r="D111" s="13">
        <f ca="1">IFERROR(__xludf.DUMMYFUNCTION("GOOGLEFINANCE(""NSE:""&amp;A111,""HIGH"")"),1330.75)</f>
        <v>1330.75</v>
      </c>
      <c r="E111" s="13">
        <f ca="1">IFERROR(__xludf.DUMMYFUNCTION("GOOGLEFINANCE(""NSE:""&amp;A111,""LOW"")"),1308.2)</f>
        <v>1308.2</v>
      </c>
      <c r="F111" s="13">
        <f ca="1">IFERROR(__xludf.DUMMYFUNCTION("GOOGLEFINANCE(""NSE:""&amp;A111,""closeyest"")"),1330.95)</f>
        <v>1330.95</v>
      </c>
      <c r="G111" s="14">
        <f t="shared" ca="1" si="20"/>
        <v>-6.1275436871169589E-3</v>
      </c>
      <c r="H111" s="13">
        <f ca="1">IFERROR(__xludf.DUMMYFUNCTION("GOOGLEFINANCE(""NSE:""&amp;A111,""VOLUME"")"),212996)</f>
        <v>212996</v>
      </c>
      <c r="I111" s="13" t="str">
        <f ca="1">IFERROR(__xludf.DUMMYFUNCTION("AVERAGE(index(GOOGLEFINANCE(""NSE:""&amp;$A111, ""volume"", today()-21, today()-1), , 2))"),"#N/A")</f>
        <v>#N/A</v>
      </c>
      <c r="J111" s="14" t="e">
        <f t="shared" ca="1" si="21"/>
        <v>#VALUE!</v>
      </c>
      <c r="K111" s="13" t="str">
        <f ca="1">IFERROR(__xludf.DUMMYFUNCTION("AVERAGE(index(GOOGLEFINANCE(""NSE:""&amp;$A111, ""close"", today()-6, today()-1), , 2))"),"#N/A")</f>
        <v>#N/A</v>
      </c>
      <c r="L111" s="13" t="str">
        <f ca="1">IFERROR(__xludf.DUMMYFUNCTION("AVERAGE(index(GOOGLEFINANCE(""NSE:""&amp;$A111, ""close"", today()-14, today()-1), , 2))"),"#N/A")</f>
        <v>#N/A</v>
      </c>
      <c r="M111" s="13" t="str">
        <f ca="1">IFERROR(__xludf.DUMMYFUNCTION("AVERAGE(index(GOOGLEFINANCE(""NSE:""&amp;$A111, ""close"", today()-22, today()-1), , 2))"),"#N/A")</f>
        <v>#N/A</v>
      </c>
      <c r="N111" s="13" t="str">
        <f t="shared" ca="1" si="22"/>
        <v>No_Action</v>
      </c>
      <c r="O111" s="13" t="str">
        <f t="shared" ca="1" si="23"/>
        <v>No_Action</v>
      </c>
      <c r="P111" s="13" t="str">
        <f t="shared" ca="1" si="24"/>
        <v>No_Action</v>
      </c>
      <c r="Q111" s="13" t="str">
        <f t="shared" ca="1" si="25"/>
        <v>No_Action</v>
      </c>
      <c r="R111" s="15"/>
      <c r="S111" s="15" t="str">
        <f t="shared" ca="1" si="26"/>
        <v>NoNo</v>
      </c>
      <c r="T111" s="15"/>
      <c r="U111" s="15">
        <f t="shared" ca="1" si="27"/>
        <v>0</v>
      </c>
      <c r="V111" s="15">
        <f t="shared" ca="1" si="28"/>
        <v>0</v>
      </c>
      <c r="W111" s="15" t="str">
        <f t="shared" ca="1" si="29"/>
        <v>No_Action</v>
      </c>
      <c r="X111" s="15"/>
      <c r="Y111" s="15" t="str">
        <f t="shared" ca="1" si="30"/>
        <v>No_Action</v>
      </c>
      <c r="Z111" s="15">
        <f t="shared" ca="1" si="31"/>
        <v>0</v>
      </c>
      <c r="AA111" s="15">
        <f t="shared" ca="1" si="32"/>
        <v>0</v>
      </c>
      <c r="AB111" s="15"/>
      <c r="AC111" s="15" t="str">
        <f t="shared" ca="1" si="33"/>
        <v>NoNo</v>
      </c>
      <c r="AD111" s="15"/>
      <c r="AE111" s="15">
        <f t="shared" ca="1" si="34"/>
        <v>0</v>
      </c>
      <c r="AF111" s="16">
        <f t="shared" ca="1" si="35"/>
        <v>0</v>
      </c>
      <c r="AG111" s="16" t="str">
        <f t="shared" ca="1" si="36"/>
        <v>No_Action</v>
      </c>
      <c r="AH111" s="15"/>
      <c r="AI111" s="15" t="str">
        <f t="shared" ca="1" si="37"/>
        <v>No_Action</v>
      </c>
      <c r="AJ111" s="15">
        <f t="shared" ca="1" si="38"/>
        <v>0</v>
      </c>
      <c r="AK111" s="15">
        <f t="shared" ca="1" si="39"/>
        <v>0</v>
      </c>
    </row>
    <row r="112" spans="1:37" ht="14.5" customHeight="1" x14ac:dyDescent="0.35">
      <c r="A112" s="12" t="s">
        <v>128</v>
      </c>
      <c r="B112" s="13">
        <f ca="1">IFERROR(__xludf.DUMMYFUNCTION("GOOGLEFINANCE(""NSE:""&amp;A112,""PRICE"")"),375.9)</f>
        <v>375.9</v>
      </c>
      <c r="C112" s="13">
        <f ca="1">IFERROR(__xludf.DUMMYFUNCTION("GOOGLEFINANCE(""NSE:""&amp;A112,""PRICEOPEN"")"),376)</f>
        <v>376</v>
      </c>
      <c r="D112" s="13">
        <f ca="1">IFERROR(__xludf.DUMMYFUNCTION("GOOGLEFINANCE(""NSE:""&amp;A112,""HIGH"")"),377.45)</f>
        <v>377.45</v>
      </c>
      <c r="E112" s="13">
        <f ca="1">IFERROR(__xludf.DUMMYFUNCTION("GOOGLEFINANCE(""NSE:""&amp;A112,""LOW"")"),370.1)</f>
        <v>370.1</v>
      </c>
      <c r="F112" s="13">
        <f ca="1">IFERROR(__xludf.DUMMYFUNCTION("GOOGLEFINANCE(""NSE:""&amp;A112,""closeyest"")"),375.8)</f>
        <v>375.8</v>
      </c>
      <c r="G112" s="14">
        <f t="shared" ca="1" si="20"/>
        <v>-2.6602819898915336E-4</v>
      </c>
      <c r="H112" s="13">
        <f ca="1">IFERROR(__xludf.DUMMYFUNCTION("GOOGLEFINANCE(""NSE:""&amp;A112,""VOLUME"")"),1732286)</f>
        <v>1732286</v>
      </c>
      <c r="I112" s="13" t="str">
        <f ca="1">IFERROR(__xludf.DUMMYFUNCTION("AVERAGE(index(GOOGLEFINANCE(""NSE:""&amp;$A112, ""volume"", today()-21, today()-1), , 2))"),"#N/A")</f>
        <v>#N/A</v>
      </c>
      <c r="J112" s="14" t="e">
        <f t="shared" ca="1" si="21"/>
        <v>#VALUE!</v>
      </c>
      <c r="K112" s="13" t="str">
        <f ca="1">IFERROR(__xludf.DUMMYFUNCTION("AVERAGE(index(GOOGLEFINANCE(""NSE:""&amp;$A112, ""close"", today()-6, today()-1), , 2))"),"#N/A")</f>
        <v>#N/A</v>
      </c>
      <c r="L112" s="13" t="str">
        <f ca="1">IFERROR(__xludf.DUMMYFUNCTION("AVERAGE(index(GOOGLEFINANCE(""NSE:""&amp;$A112, ""close"", today()-14, today()-1), , 2))"),"#N/A")</f>
        <v>#N/A</v>
      </c>
      <c r="M112" s="13" t="str">
        <f ca="1">IFERROR(__xludf.DUMMYFUNCTION("AVERAGE(index(GOOGLEFINANCE(""NSE:""&amp;$A112, ""close"", today()-22, today()-1), , 2))"),"#N/A")</f>
        <v>#N/A</v>
      </c>
      <c r="N112" s="13" t="str">
        <f t="shared" ca="1" si="22"/>
        <v>No_Action</v>
      </c>
      <c r="O112" s="13" t="str">
        <f t="shared" ca="1" si="23"/>
        <v>No_Action</v>
      </c>
      <c r="P112" s="13" t="str">
        <f t="shared" ca="1" si="24"/>
        <v>No_Action</v>
      </c>
      <c r="Q112" s="13" t="str">
        <f t="shared" ca="1" si="25"/>
        <v>No_Action</v>
      </c>
      <c r="R112" s="15"/>
      <c r="S112" s="15" t="str">
        <f t="shared" ca="1" si="26"/>
        <v>NoNo</v>
      </c>
      <c r="T112" s="15"/>
      <c r="U112" s="15">
        <f t="shared" ca="1" si="27"/>
        <v>0</v>
      </c>
      <c r="V112" s="15">
        <f t="shared" ca="1" si="28"/>
        <v>0</v>
      </c>
      <c r="W112" s="15" t="str">
        <f t="shared" ca="1" si="29"/>
        <v>No_Action</v>
      </c>
      <c r="X112" s="15"/>
      <c r="Y112" s="15" t="str">
        <f t="shared" ca="1" si="30"/>
        <v>No_Action</v>
      </c>
      <c r="Z112" s="15">
        <f t="shared" ca="1" si="31"/>
        <v>0</v>
      </c>
      <c r="AA112" s="15">
        <f t="shared" ca="1" si="32"/>
        <v>0</v>
      </c>
      <c r="AB112" s="15"/>
      <c r="AC112" s="15" t="str">
        <f t="shared" ca="1" si="33"/>
        <v>NoNo</v>
      </c>
      <c r="AD112" s="15"/>
      <c r="AE112" s="15">
        <f t="shared" ca="1" si="34"/>
        <v>0</v>
      </c>
      <c r="AF112" s="16">
        <f t="shared" ca="1" si="35"/>
        <v>0</v>
      </c>
      <c r="AG112" s="16" t="str">
        <f t="shared" ca="1" si="36"/>
        <v>No_Action</v>
      </c>
      <c r="AH112" s="15"/>
      <c r="AI112" s="15" t="str">
        <f t="shared" ca="1" si="37"/>
        <v>No_Action</v>
      </c>
      <c r="AJ112" s="15">
        <f t="shared" ca="1" si="38"/>
        <v>0</v>
      </c>
      <c r="AK112" s="15">
        <f t="shared" ca="1" si="39"/>
        <v>0</v>
      </c>
    </row>
    <row r="113" spans="1:37" ht="14.5" customHeight="1" x14ac:dyDescent="0.35">
      <c r="A113" s="12" t="s">
        <v>129</v>
      </c>
      <c r="B113" s="13">
        <f ca="1">IFERROR(__xludf.DUMMYFUNCTION("GOOGLEFINANCE(""NSE:""&amp;A113,""PRICE"")"),623.45)</f>
        <v>623.45000000000005</v>
      </c>
      <c r="C113" s="13">
        <f ca="1">IFERROR(__xludf.DUMMYFUNCTION("GOOGLEFINANCE(""NSE:""&amp;A113,""PRICEOPEN"")"),634)</f>
        <v>634</v>
      </c>
      <c r="D113" s="13">
        <f ca="1">IFERROR(__xludf.DUMMYFUNCTION("GOOGLEFINANCE(""NSE:""&amp;A113,""HIGH"")"),639)</f>
        <v>639</v>
      </c>
      <c r="E113" s="13">
        <f ca="1">IFERROR(__xludf.DUMMYFUNCTION("GOOGLEFINANCE(""NSE:""&amp;A113,""LOW"")"),620.5)</f>
        <v>620.5</v>
      </c>
      <c r="F113" s="13">
        <f ca="1">IFERROR(__xludf.DUMMYFUNCTION("GOOGLEFINANCE(""NSE:""&amp;A113,""closeyest"")"),636.7)</f>
        <v>636.70000000000005</v>
      </c>
      <c r="G113" s="14">
        <f t="shared" ca="1" si="20"/>
        <v>-1.6921966476862546E-2</v>
      </c>
      <c r="H113" s="13">
        <f ca="1">IFERROR(__xludf.DUMMYFUNCTION("GOOGLEFINANCE(""NSE:""&amp;A113,""VOLUME"")"),442006)</f>
        <v>442006</v>
      </c>
      <c r="I113" s="13" t="str">
        <f ca="1">IFERROR(__xludf.DUMMYFUNCTION("AVERAGE(index(GOOGLEFINANCE(""NSE:""&amp;$A113, ""volume"", today()-21, today()-1), , 2))"),"#N/A")</f>
        <v>#N/A</v>
      </c>
      <c r="J113" s="14" t="e">
        <f t="shared" ca="1" si="21"/>
        <v>#VALUE!</v>
      </c>
      <c r="K113" s="13" t="str">
        <f ca="1">IFERROR(__xludf.DUMMYFUNCTION("AVERAGE(index(GOOGLEFINANCE(""NSE:""&amp;$A113, ""close"", today()-6, today()-1), , 2))"),"#N/A")</f>
        <v>#N/A</v>
      </c>
      <c r="L113" s="13" t="str">
        <f ca="1">IFERROR(__xludf.DUMMYFUNCTION("AVERAGE(index(GOOGLEFINANCE(""NSE:""&amp;$A113, ""close"", today()-14, today()-1), , 2))"),"#N/A")</f>
        <v>#N/A</v>
      </c>
      <c r="M113" s="13" t="str">
        <f ca="1">IFERROR(__xludf.DUMMYFUNCTION("AVERAGE(index(GOOGLEFINANCE(""NSE:""&amp;$A113, ""close"", today()-22, today()-1), , 2))"),"#N/A")</f>
        <v>#N/A</v>
      </c>
      <c r="N113" s="13" t="str">
        <f t="shared" ca="1" si="22"/>
        <v>No_Action</v>
      </c>
      <c r="O113" s="13" t="str">
        <f t="shared" ca="1" si="23"/>
        <v>No_Action</v>
      </c>
      <c r="P113" s="13" t="str">
        <f t="shared" ca="1" si="24"/>
        <v>No_Action</v>
      </c>
      <c r="Q113" s="13" t="str">
        <f t="shared" ca="1" si="25"/>
        <v>No_Action</v>
      </c>
      <c r="R113" s="15"/>
      <c r="S113" s="15" t="str">
        <f t="shared" ca="1" si="26"/>
        <v>NoNo</v>
      </c>
      <c r="T113" s="15"/>
      <c r="U113" s="15">
        <f t="shared" ca="1" si="27"/>
        <v>0</v>
      </c>
      <c r="V113" s="15">
        <f t="shared" ca="1" si="28"/>
        <v>0</v>
      </c>
      <c r="W113" s="15" t="str">
        <f t="shared" ca="1" si="29"/>
        <v>No_Action</v>
      </c>
      <c r="X113" s="15"/>
      <c r="Y113" s="15" t="str">
        <f t="shared" ca="1" si="30"/>
        <v>No_Action</v>
      </c>
      <c r="Z113" s="15">
        <f t="shared" ca="1" si="31"/>
        <v>0</v>
      </c>
      <c r="AA113" s="15">
        <f t="shared" ca="1" si="32"/>
        <v>0</v>
      </c>
      <c r="AB113" s="15"/>
      <c r="AC113" s="15" t="str">
        <f t="shared" ca="1" si="33"/>
        <v>NoNo</v>
      </c>
      <c r="AD113" s="15"/>
      <c r="AE113" s="15">
        <f t="shared" ca="1" si="34"/>
        <v>0</v>
      </c>
      <c r="AF113" s="16">
        <f t="shared" ca="1" si="35"/>
        <v>0</v>
      </c>
      <c r="AG113" s="16" t="str">
        <f t="shared" ca="1" si="36"/>
        <v>No_Action</v>
      </c>
      <c r="AH113" s="15"/>
      <c r="AI113" s="15" t="str">
        <f t="shared" ca="1" si="37"/>
        <v>No_Action</v>
      </c>
      <c r="AJ113" s="15">
        <f t="shared" ca="1" si="38"/>
        <v>0</v>
      </c>
      <c r="AK113" s="15">
        <f t="shared" ca="1" si="39"/>
        <v>0</v>
      </c>
    </row>
    <row r="114" spans="1:37" ht="14.5" customHeight="1" x14ac:dyDescent="0.35">
      <c r="A114" s="12" t="s">
        <v>130</v>
      </c>
      <c r="B114" s="13">
        <f ca="1">IFERROR(__xludf.DUMMYFUNCTION("GOOGLEFINANCE(""NSE:""&amp;A114,""PRICE"")"),1630.55)</f>
        <v>1630.55</v>
      </c>
      <c r="C114" s="13">
        <f ca="1">IFERROR(__xludf.DUMMYFUNCTION("GOOGLEFINANCE(""NSE:""&amp;A114,""PRICEOPEN"")"),1660)</f>
        <v>1660</v>
      </c>
      <c r="D114" s="13">
        <f ca="1">IFERROR(__xludf.DUMMYFUNCTION("GOOGLEFINANCE(""NSE:""&amp;A114,""HIGH"")"),1682)</f>
        <v>1682</v>
      </c>
      <c r="E114" s="13">
        <f ca="1">IFERROR(__xludf.DUMMYFUNCTION("GOOGLEFINANCE(""NSE:""&amp;A114,""LOW"")"),1630.55)</f>
        <v>1630.55</v>
      </c>
      <c r="F114" s="13">
        <f ca="1">IFERROR(__xludf.DUMMYFUNCTION("GOOGLEFINANCE(""NSE:""&amp;A114,""closeyest"")"),1648.1)</f>
        <v>1648.1</v>
      </c>
      <c r="G114" s="14">
        <f t="shared" ca="1" si="20"/>
        <v>-1.8061390328416822E-2</v>
      </c>
      <c r="H114" s="13">
        <f ca="1">IFERROR(__xludf.DUMMYFUNCTION("GOOGLEFINANCE(""NSE:""&amp;A114,""VOLUME"")"),23257)</f>
        <v>23257</v>
      </c>
      <c r="I114" s="13" t="str">
        <f ca="1">IFERROR(__xludf.DUMMYFUNCTION("AVERAGE(index(GOOGLEFINANCE(""NSE:""&amp;$A114, ""volume"", today()-21, today()-1), , 2))"),"#N/A")</f>
        <v>#N/A</v>
      </c>
      <c r="J114" s="14" t="e">
        <f t="shared" ca="1" si="21"/>
        <v>#VALUE!</v>
      </c>
      <c r="K114" s="13" t="str">
        <f ca="1">IFERROR(__xludf.DUMMYFUNCTION("AVERAGE(index(GOOGLEFINANCE(""NSE:""&amp;$A114, ""close"", today()-6, today()-1), , 2))"),"#N/A")</f>
        <v>#N/A</v>
      </c>
      <c r="L114" s="13" t="str">
        <f ca="1">IFERROR(__xludf.DUMMYFUNCTION("AVERAGE(index(GOOGLEFINANCE(""NSE:""&amp;$A114, ""close"", today()-14, today()-1), , 2))"),"#N/A")</f>
        <v>#N/A</v>
      </c>
      <c r="M114" s="13" t="str">
        <f ca="1">IFERROR(__xludf.DUMMYFUNCTION("AVERAGE(index(GOOGLEFINANCE(""NSE:""&amp;$A114, ""close"", today()-22, today()-1), , 2))"),"#N/A")</f>
        <v>#N/A</v>
      </c>
      <c r="N114" s="13" t="str">
        <f t="shared" ca="1" si="22"/>
        <v>No_Action</v>
      </c>
      <c r="O114" s="13" t="str">
        <f t="shared" ca="1" si="23"/>
        <v>No_Action</v>
      </c>
      <c r="P114" s="13" t="str">
        <f t="shared" ca="1" si="24"/>
        <v>No_Action</v>
      </c>
      <c r="Q114" s="13" t="str">
        <f t="shared" ca="1" si="25"/>
        <v>No_Action</v>
      </c>
      <c r="R114" s="15"/>
      <c r="S114" s="15" t="str">
        <f t="shared" ca="1" si="26"/>
        <v>NoNo</v>
      </c>
      <c r="T114" s="15"/>
      <c r="U114" s="15">
        <f t="shared" ca="1" si="27"/>
        <v>0</v>
      </c>
      <c r="V114" s="15">
        <f t="shared" ca="1" si="28"/>
        <v>0</v>
      </c>
      <c r="W114" s="15" t="str">
        <f t="shared" ca="1" si="29"/>
        <v>No_Action</v>
      </c>
      <c r="X114" s="15"/>
      <c r="Y114" s="15" t="str">
        <f t="shared" ca="1" si="30"/>
        <v>No_Action</v>
      </c>
      <c r="Z114" s="15">
        <f t="shared" ca="1" si="31"/>
        <v>0</v>
      </c>
      <c r="AA114" s="15">
        <f t="shared" ca="1" si="32"/>
        <v>0</v>
      </c>
      <c r="AB114" s="15"/>
      <c r="AC114" s="15" t="str">
        <f t="shared" ca="1" si="33"/>
        <v>NoNo</v>
      </c>
      <c r="AD114" s="15"/>
      <c r="AE114" s="15">
        <f t="shared" ca="1" si="34"/>
        <v>0</v>
      </c>
      <c r="AF114" s="16">
        <f t="shared" ca="1" si="35"/>
        <v>0</v>
      </c>
      <c r="AG114" s="16" t="str">
        <f t="shared" ca="1" si="36"/>
        <v>No_Action</v>
      </c>
      <c r="AH114" s="15"/>
      <c r="AI114" s="15" t="str">
        <f t="shared" ca="1" si="37"/>
        <v>No_Action</v>
      </c>
      <c r="AJ114" s="15">
        <f t="shared" ca="1" si="38"/>
        <v>0</v>
      </c>
      <c r="AK114" s="15">
        <f t="shared" ca="1" si="39"/>
        <v>0</v>
      </c>
    </row>
    <row r="115" spans="1:37" ht="14.5" customHeight="1" x14ac:dyDescent="0.35">
      <c r="A115" s="12" t="s">
        <v>131</v>
      </c>
      <c r="B115" s="13">
        <f ca="1">IFERROR(__xludf.DUMMYFUNCTION("GOOGLEFINANCE(""NSE:""&amp;A115,""PRICE"")"),218.57)</f>
        <v>218.57</v>
      </c>
      <c r="C115" s="13">
        <f ca="1">IFERROR(__xludf.DUMMYFUNCTION("GOOGLEFINANCE(""NSE:""&amp;A115,""PRICEOPEN"")"),220.51)</f>
        <v>220.51</v>
      </c>
      <c r="D115" s="13">
        <f ca="1">IFERROR(__xludf.DUMMYFUNCTION("GOOGLEFINANCE(""NSE:""&amp;A115,""HIGH"")"),221.94)</f>
        <v>221.94</v>
      </c>
      <c r="E115" s="13">
        <f ca="1">IFERROR(__xludf.DUMMYFUNCTION("GOOGLEFINANCE(""NSE:""&amp;A115,""LOW"")"),217.8)</f>
        <v>217.8</v>
      </c>
      <c r="F115" s="13">
        <f ca="1">IFERROR(__xludf.DUMMYFUNCTION("GOOGLEFINANCE(""NSE:""&amp;A115,""closeyest"")"),220.98)</f>
        <v>220.98</v>
      </c>
      <c r="G115" s="14">
        <f t="shared" ca="1" si="20"/>
        <v>-8.8758750057189809E-3</v>
      </c>
      <c r="H115" s="13">
        <f ca="1">IFERROR(__xludf.DUMMYFUNCTION("GOOGLEFINANCE(""NSE:""&amp;A115,""VOLUME"")"),1265119)</f>
        <v>1265119</v>
      </c>
      <c r="I115" s="13" t="str">
        <f ca="1">IFERROR(__xludf.DUMMYFUNCTION("AVERAGE(index(GOOGLEFINANCE(""NSE:""&amp;$A115, ""volume"", today()-21, today()-1), , 2))"),"#N/A")</f>
        <v>#N/A</v>
      </c>
      <c r="J115" s="14" t="e">
        <f t="shared" ca="1" si="21"/>
        <v>#VALUE!</v>
      </c>
      <c r="K115" s="13" t="str">
        <f ca="1">IFERROR(__xludf.DUMMYFUNCTION("AVERAGE(index(GOOGLEFINANCE(""NSE:""&amp;$A115, ""close"", today()-6, today()-1), , 2))"),"#N/A")</f>
        <v>#N/A</v>
      </c>
      <c r="L115" s="13" t="str">
        <f ca="1">IFERROR(__xludf.DUMMYFUNCTION("AVERAGE(index(GOOGLEFINANCE(""NSE:""&amp;$A115, ""close"", today()-14, today()-1), , 2))"),"#N/A")</f>
        <v>#N/A</v>
      </c>
      <c r="M115" s="13" t="str">
        <f ca="1">IFERROR(__xludf.DUMMYFUNCTION("AVERAGE(index(GOOGLEFINANCE(""NSE:""&amp;$A115, ""close"", today()-22, today()-1), , 2))"),"#N/A")</f>
        <v>#N/A</v>
      </c>
      <c r="N115" s="13" t="str">
        <f t="shared" ca="1" si="22"/>
        <v>No_Action</v>
      </c>
      <c r="O115" s="13" t="str">
        <f t="shared" ca="1" si="23"/>
        <v>No_Action</v>
      </c>
      <c r="P115" s="13" t="str">
        <f t="shared" ca="1" si="24"/>
        <v>No_Action</v>
      </c>
      <c r="Q115" s="13" t="str">
        <f t="shared" ca="1" si="25"/>
        <v>No_Action</v>
      </c>
      <c r="R115" s="15"/>
      <c r="S115" s="15" t="str">
        <f t="shared" ca="1" si="26"/>
        <v>NoNo</v>
      </c>
      <c r="T115" s="15"/>
      <c r="U115" s="15">
        <f t="shared" ca="1" si="27"/>
        <v>0</v>
      </c>
      <c r="V115" s="15">
        <f t="shared" ca="1" si="28"/>
        <v>0</v>
      </c>
      <c r="W115" s="15" t="str">
        <f t="shared" ca="1" si="29"/>
        <v>No_Action</v>
      </c>
      <c r="X115" s="15"/>
      <c r="Y115" s="15" t="str">
        <f t="shared" ca="1" si="30"/>
        <v>No_Action</v>
      </c>
      <c r="Z115" s="15">
        <f t="shared" ca="1" si="31"/>
        <v>0</v>
      </c>
      <c r="AA115" s="15">
        <f t="shared" ca="1" si="32"/>
        <v>0</v>
      </c>
      <c r="AB115" s="15"/>
      <c r="AC115" s="15" t="str">
        <f t="shared" ca="1" si="33"/>
        <v>NoNo</v>
      </c>
      <c r="AD115" s="15"/>
      <c r="AE115" s="15">
        <f t="shared" ca="1" si="34"/>
        <v>0</v>
      </c>
      <c r="AF115" s="16">
        <f t="shared" ca="1" si="35"/>
        <v>0</v>
      </c>
      <c r="AG115" s="16" t="str">
        <f t="shared" ca="1" si="36"/>
        <v>No_Action</v>
      </c>
      <c r="AH115" s="15"/>
      <c r="AI115" s="15" t="str">
        <f t="shared" ca="1" si="37"/>
        <v>No_Action</v>
      </c>
      <c r="AJ115" s="15">
        <f t="shared" ca="1" si="38"/>
        <v>0</v>
      </c>
      <c r="AK115" s="15">
        <f t="shared" ca="1" si="39"/>
        <v>0</v>
      </c>
    </row>
    <row r="116" spans="1:37" ht="14.5" customHeight="1" x14ac:dyDescent="0.35">
      <c r="A116" s="12" t="s">
        <v>132</v>
      </c>
      <c r="B116" s="13">
        <f ca="1">IFERROR(__xludf.DUMMYFUNCTION("GOOGLEFINANCE(""NSE:""&amp;A116,""PRICE"")"),2834.45)</f>
        <v>2834.45</v>
      </c>
      <c r="C116" s="13">
        <f ca="1">IFERROR(__xludf.DUMMYFUNCTION("GOOGLEFINANCE(""NSE:""&amp;A116,""PRICEOPEN"")"),2859.95)</f>
        <v>2859.95</v>
      </c>
      <c r="D116" s="13">
        <f ca="1">IFERROR(__xludf.DUMMYFUNCTION("GOOGLEFINANCE(""NSE:""&amp;A116,""HIGH"")"),2859.95)</f>
        <v>2859.95</v>
      </c>
      <c r="E116" s="13">
        <f ca="1">IFERROR(__xludf.DUMMYFUNCTION("GOOGLEFINANCE(""NSE:""&amp;A116,""LOW"")"),2818.35)</f>
        <v>2818.35</v>
      </c>
      <c r="F116" s="13">
        <f ca="1">IFERROR(__xludf.DUMMYFUNCTION("GOOGLEFINANCE(""NSE:""&amp;A116,""closeyest"")"),2859.2)</f>
        <v>2859.2</v>
      </c>
      <c r="G116" s="14">
        <f t="shared" ca="1" si="20"/>
        <v>-8.996454338584205E-3</v>
      </c>
      <c r="H116" s="13">
        <f ca="1">IFERROR(__xludf.DUMMYFUNCTION("GOOGLEFINANCE(""NSE:""&amp;A116,""VOLUME"")"),4614)</f>
        <v>4614</v>
      </c>
      <c r="I116" s="13" t="str">
        <f ca="1">IFERROR(__xludf.DUMMYFUNCTION("AVERAGE(index(GOOGLEFINANCE(""NSE:""&amp;$A116, ""volume"", today()-21, today()-1), , 2))"),"#N/A")</f>
        <v>#N/A</v>
      </c>
      <c r="J116" s="14" t="e">
        <f t="shared" ca="1" si="21"/>
        <v>#VALUE!</v>
      </c>
      <c r="K116" s="13" t="str">
        <f ca="1">IFERROR(__xludf.DUMMYFUNCTION("AVERAGE(index(GOOGLEFINANCE(""NSE:""&amp;$A116, ""close"", today()-6, today()-1), , 2))"),"#N/A")</f>
        <v>#N/A</v>
      </c>
      <c r="L116" s="13" t="str">
        <f ca="1">IFERROR(__xludf.DUMMYFUNCTION("AVERAGE(index(GOOGLEFINANCE(""NSE:""&amp;$A116, ""close"", today()-14, today()-1), , 2))"),"#N/A")</f>
        <v>#N/A</v>
      </c>
      <c r="M116" s="13" t="str">
        <f ca="1">IFERROR(__xludf.DUMMYFUNCTION("AVERAGE(index(GOOGLEFINANCE(""NSE:""&amp;$A116, ""close"", today()-22, today()-1), , 2))"),"#N/A")</f>
        <v>#N/A</v>
      </c>
      <c r="N116" s="13" t="str">
        <f t="shared" ca="1" si="22"/>
        <v>No_Action</v>
      </c>
      <c r="O116" s="13" t="str">
        <f t="shared" ca="1" si="23"/>
        <v>No_Action</v>
      </c>
      <c r="P116" s="13" t="str">
        <f t="shared" ca="1" si="24"/>
        <v>No_Action</v>
      </c>
      <c r="Q116" s="13" t="str">
        <f t="shared" ca="1" si="25"/>
        <v>No_Action</v>
      </c>
      <c r="R116" s="15"/>
      <c r="S116" s="15" t="str">
        <f t="shared" ca="1" si="26"/>
        <v>NoNo</v>
      </c>
      <c r="T116" s="15"/>
      <c r="U116" s="15">
        <f t="shared" ca="1" si="27"/>
        <v>0</v>
      </c>
      <c r="V116" s="15">
        <f t="shared" ca="1" si="28"/>
        <v>0</v>
      </c>
      <c r="W116" s="15" t="str">
        <f t="shared" ca="1" si="29"/>
        <v>No_Action</v>
      </c>
      <c r="X116" s="15"/>
      <c r="Y116" s="15" t="str">
        <f t="shared" ca="1" si="30"/>
        <v>No_Action</v>
      </c>
      <c r="Z116" s="15">
        <f t="shared" ca="1" si="31"/>
        <v>0</v>
      </c>
      <c r="AA116" s="15">
        <f t="shared" ca="1" si="32"/>
        <v>0</v>
      </c>
      <c r="AB116" s="15"/>
      <c r="AC116" s="15" t="str">
        <f t="shared" ca="1" si="33"/>
        <v>NoNo</v>
      </c>
      <c r="AD116" s="15"/>
      <c r="AE116" s="15">
        <f t="shared" ca="1" si="34"/>
        <v>0</v>
      </c>
      <c r="AF116" s="16">
        <f t="shared" ca="1" si="35"/>
        <v>0</v>
      </c>
      <c r="AG116" s="16" t="str">
        <f t="shared" ca="1" si="36"/>
        <v>No_Action</v>
      </c>
      <c r="AH116" s="15"/>
      <c r="AI116" s="15" t="str">
        <f t="shared" ca="1" si="37"/>
        <v>No_Action</v>
      </c>
      <c r="AJ116" s="15">
        <f t="shared" ca="1" si="38"/>
        <v>0</v>
      </c>
      <c r="AK116" s="15">
        <f t="shared" ca="1" si="39"/>
        <v>0</v>
      </c>
    </row>
    <row r="117" spans="1:37" ht="14.5" customHeight="1" x14ac:dyDescent="0.35">
      <c r="A117" s="12" t="s">
        <v>133</v>
      </c>
      <c r="B117" s="13">
        <f ca="1">IFERROR(__xludf.DUMMYFUNCTION("GOOGLEFINANCE(""NSE:""&amp;A117,""PRICE"")"),135.2)</f>
        <v>135.19999999999999</v>
      </c>
      <c r="C117" s="13">
        <f ca="1">IFERROR(__xludf.DUMMYFUNCTION("GOOGLEFINANCE(""NSE:""&amp;A117,""PRICEOPEN"")"),136.5)</f>
        <v>136.5</v>
      </c>
      <c r="D117" s="13">
        <f ca="1">IFERROR(__xludf.DUMMYFUNCTION("GOOGLEFINANCE(""NSE:""&amp;A117,""HIGH"")"),139.86)</f>
        <v>139.86000000000001</v>
      </c>
      <c r="E117" s="13">
        <f ca="1">IFERROR(__xludf.DUMMYFUNCTION("GOOGLEFINANCE(""NSE:""&amp;A117,""LOW"")"),135.05)</f>
        <v>135.05000000000001</v>
      </c>
      <c r="F117" s="13">
        <f ca="1">IFERROR(__xludf.DUMMYFUNCTION("GOOGLEFINANCE(""NSE:""&amp;A117,""closeyest"")"),135.82)</f>
        <v>135.82</v>
      </c>
      <c r="G117" s="14">
        <f t="shared" ca="1" si="20"/>
        <v>-9.6153846153847009E-3</v>
      </c>
      <c r="H117" s="13">
        <f ca="1">IFERROR(__xludf.DUMMYFUNCTION("GOOGLEFINANCE(""NSE:""&amp;A117,""VOLUME"")"),75377)</f>
        <v>75377</v>
      </c>
      <c r="I117" s="13" t="str">
        <f ca="1">IFERROR(__xludf.DUMMYFUNCTION("AVERAGE(index(GOOGLEFINANCE(""NSE:""&amp;$A117, ""volume"", today()-21, today()-1), , 2))"),"#N/A")</f>
        <v>#N/A</v>
      </c>
      <c r="J117" s="14" t="e">
        <f t="shared" ca="1" si="21"/>
        <v>#VALUE!</v>
      </c>
      <c r="K117" s="13" t="str">
        <f ca="1">IFERROR(__xludf.DUMMYFUNCTION("AVERAGE(index(GOOGLEFINANCE(""NSE:""&amp;$A117, ""close"", today()-6, today()-1), , 2))"),"#N/A")</f>
        <v>#N/A</v>
      </c>
      <c r="L117" s="13" t="str">
        <f ca="1">IFERROR(__xludf.DUMMYFUNCTION("AVERAGE(index(GOOGLEFINANCE(""NSE:""&amp;$A117, ""close"", today()-14, today()-1), , 2))"),"#N/A")</f>
        <v>#N/A</v>
      </c>
      <c r="M117" s="13" t="str">
        <f ca="1">IFERROR(__xludf.DUMMYFUNCTION("AVERAGE(index(GOOGLEFINANCE(""NSE:""&amp;$A117, ""close"", today()-22, today()-1), , 2))"),"#N/A")</f>
        <v>#N/A</v>
      </c>
      <c r="N117" s="13" t="str">
        <f t="shared" ca="1" si="22"/>
        <v>No_Action</v>
      </c>
      <c r="O117" s="13" t="str">
        <f t="shared" ca="1" si="23"/>
        <v>No_Action</v>
      </c>
      <c r="P117" s="13" t="str">
        <f t="shared" ca="1" si="24"/>
        <v>No_Action</v>
      </c>
      <c r="Q117" s="13" t="str">
        <f t="shared" ca="1" si="25"/>
        <v>No_Action</v>
      </c>
      <c r="R117" s="15"/>
      <c r="S117" s="15" t="str">
        <f t="shared" ca="1" si="26"/>
        <v>NoNo</v>
      </c>
      <c r="T117" s="15"/>
      <c r="U117" s="15">
        <f t="shared" ca="1" si="27"/>
        <v>0</v>
      </c>
      <c r="V117" s="15">
        <f t="shared" ca="1" si="28"/>
        <v>0</v>
      </c>
      <c r="W117" s="15" t="str">
        <f t="shared" ca="1" si="29"/>
        <v>No_Action</v>
      </c>
      <c r="X117" s="15"/>
      <c r="Y117" s="15" t="str">
        <f t="shared" ca="1" si="30"/>
        <v>No_Action</v>
      </c>
      <c r="Z117" s="15">
        <f t="shared" ca="1" si="31"/>
        <v>0</v>
      </c>
      <c r="AA117" s="15">
        <f t="shared" ca="1" si="32"/>
        <v>0</v>
      </c>
      <c r="AB117" s="15"/>
      <c r="AC117" s="15" t="str">
        <f t="shared" ca="1" si="33"/>
        <v>NoNo</v>
      </c>
      <c r="AD117" s="15"/>
      <c r="AE117" s="15">
        <f t="shared" ca="1" si="34"/>
        <v>0</v>
      </c>
      <c r="AF117" s="16">
        <f t="shared" ca="1" si="35"/>
        <v>0</v>
      </c>
      <c r="AG117" s="16" t="str">
        <f t="shared" ca="1" si="36"/>
        <v>No_Action</v>
      </c>
      <c r="AH117" s="15"/>
      <c r="AI117" s="15" t="str">
        <f t="shared" ca="1" si="37"/>
        <v>No_Action</v>
      </c>
      <c r="AJ117" s="15">
        <f t="shared" ca="1" si="38"/>
        <v>0</v>
      </c>
      <c r="AK117" s="15">
        <f t="shared" ca="1" si="39"/>
        <v>0</v>
      </c>
    </row>
    <row r="118" spans="1:37" ht="14.5" customHeight="1" x14ac:dyDescent="0.35">
      <c r="A118" s="12" t="s">
        <v>134</v>
      </c>
      <c r="B118" s="13">
        <f ca="1">IFERROR(__xludf.DUMMYFUNCTION("GOOGLEFINANCE(""NSE:""&amp;A118,""PRICE"")"),1308.5)</f>
        <v>1308.5</v>
      </c>
      <c r="C118" s="13">
        <f ca="1">IFERROR(__xludf.DUMMYFUNCTION("GOOGLEFINANCE(""NSE:""&amp;A118,""PRICEOPEN"")"),1322)</f>
        <v>1322</v>
      </c>
      <c r="D118" s="13">
        <f ca="1">IFERROR(__xludf.DUMMYFUNCTION("GOOGLEFINANCE(""NSE:""&amp;A118,""HIGH"")"),1338.2)</f>
        <v>1338.2</v>
      </c>
      <c r="E118" s="13">
        <f ca="1">IFERROR(__xludf.DUMMYFUNCTION("GOOGLEFINANCE(""NSE:""&amp;A118,""LOW"")"),1295.75)</f>
        <v>1295.75</v>
      </c>
      <c r="F118" s="13">
        <f ca="1">IFERROR(__xludf.DUMMYFUNCTION("GOOGLEFINANCE(""NSE:""&amp;A118,""closeyest"")"),1318.95)</f>
        <v>1318.95</v>
      </c>
      <c r="G118" s="14">
        <f t="shared" ca="1" si="20"/>
        <v>-1.0317157050057318E-2</v>
      </c>
      <c r="H118" s="13">
        <f ca="1">IFERROR(__xludf.DUMMYFUNCTION("GOOGLEFINANCE(""NSE:""&amp;A118,""VOLUME"")"),71353)</f>
        <v>71353</v>
      </c>
      <c r="I118" s="13" t="str">
        <f ca="1">IFERROR(__xludf.DUMMYFUNCTION("AVERAGE(index(GOOGLEFINANCE(""NSE:""&amp;$A118, ""volume"", today()-21, today()-1), , 2))"),"#N/A")</f>
        <v>#N/A</v>
      </c>
      <c r="J118" s="14" t="e">
        <f t="shared" ca="1" si="21"/>
        <v>#VALUE!</v>
      </c>
      <c r="K118" s="13" t="str">
        <f ca="1">IFERROR(__xludf.DUMMYFUNCTION("AVERAGE(index(GOOGLEFINANCE(""NSE:""&amp;$A118, ""close"", today()-6, today()-1), , 2))"),"#N/A")</f>
        <v>#N/A</v>
      </c>
      <c r="L118" s="13" t="str">
        <f ca="1">IFERROR(__xludf.DUMMYFUNCTION("AVERAGE(index(GOOGLEFINANCE(""NSE:""&amp;$A118, ""close"", today()-14, today()-1), , 2))"),"#N/A")</f>
        <v>#N/A</v>
      </c>
      <c r="M118" s="13" t="str">
        <f ca="1">IFERROR(__xludf.DUMMYFUNCTION("AVERAGE(index(GOOGLEFINANCE(""NSE:""&amp;$A118, ""close"", today()-22, today()-1), , 2))"),"#N/A")</f>
        <v>#N/A</v>
      </c>
      <c r="N118" s="13" t="str">
        <f t="shared" ca="1" si="22"/>
        <v>No_Action</v>
      </c>
      <c r="O118" s="13" t="str">
        <f t="shared" ca="1" si="23"/>
        <v>No_Action</v>
      </c>
      <c r="P118" s="13" t="str">
        <f t="shared" ca="1" si="24"/>
        <v>No_Action</v>
      </c>
      <c r="Q118" s="13" t="str">
        <f t="shared" ca="1" si="25"/>
        <v>No_Action</v>
      </c>
      <c r="R118" s="15"/>
      <c r="S118" s="15" t="str">
        <f t="shared" ca="1" si="26"/>
        <v>NoNo</v>
      </c>
      <c r="T118" s="15"/>
      <c r="U118" s="15">
        <f t="shared" ca="1" si="27"/>
        <v>0</v>
      </c>
      <c r="V118" s="15">
        <f t="shared" ca="1" si="28"/>
        <v>0</v>
      </c>
      <c r="W118" s="15" t="str">
        <f t="shared" ca="1" si="29"/>
        <v>No_Action</v>
      </c>
      <c r="X118" s="15"/>
      <c r="Y118" s="15" t="str">
        <f t="shared" ca="1" si="30"/>
        <v>No_Action</v>
      </c>
      <c r="Z118" s="15">
        <f t="shared" ca="1" si="31"/>
        <v>0</v>
      </c>
      <c r="AA118" s="15">
        <f t="shared" ca="1" si="32"/>
        <v>0</v>
      </c>
      <c r="AB118" s="15"/>
      <c r="AC118" s="15" t="str">
        <f t="shared" ca="1" si="33"/>
        <v>NoNo</v>
      </c>
      <c r="AD118" s="15"/>
      <c r="AE118" s="15">
        <f t="shared" ca="1" si="34"/>
        <v>0</v>
      </c>
      <c r="AF118" s="16">
        <f t="shared" ca="1" si="35"/>
        <v>0</v>
      </c>
      <c r="AG118" s="16" t="str">
        <f t="shared" ca="1" si="36"/>
        <v>No_Action</v>
      </c>
      <c r="AH118" s="15"/>
      <c r="AI118" s="15" t="str">
        <f t="shared" ca="1" si="37"/>
        <v>No_Action</v>
      </c>
      <c r="AJ118" s="15">
        <f t="shared" ca="1" si="38"/>
        <v>0</v>
      </c>
      <c r="AK118" s="15">
        <f t="shared" ca="1" si="39"/>
        <v>0</v>
      </c>
    </row>
    <row r="119" spans="1:37" ht="14.5" customHeight="1" x14ac:dyDescent="0.35">
      <c r="A119" s="12" t="s">
        <v>135</v>
      </c>
      <c r="B119" s="13">
        <f ca="1">IFERROR(__xludf.DUMMYFUNCTION("GOOGLEFINANCE(""NSE:""&amp;A119,""PRICE"")"),4839.9)</f>
        <v>4839.8999999999996</v>
      </c>
      <c r="C119" s="13">
        <f ca="1">IFERROR(__xludf.DUMMYFUNCTION("GOOGLEFINANCE(""NSE:""&amp;A119,""PRICEOPEN"")"),4836.1)</f>
        <v>4836.1000000000004</v>
      </c>
      <c r="D119" s="13">
        <f ca="1">IFERROR(__xludf.DUMMYFUNCTION("GOOGLEFINANCE(""NSE:""&amp;A119,""HIGH"")"),4931.95)</f>
        <v>4931.95</v>
      </c>
      <c r="E119" s="13">
        <f ca="1">IFERROR(__xludf.DUMMYFUNCTION("GOOGLEFINANCE(""NSE:""&amp;A119,""LOW"")"),4742.35)</f>
        <v>4742.3500000000004</v>
      </c>
      <c r="F119" s="13">
        <f ca="1">IFERROR(__xludf.DUMMYFUNCTION("GOOGLEFINANCE(""NSE:""&amp;A119,""closeyest"")"),4800.75)</f>
        <v>4800.75</v>
      </c>
      <c r="G119" s="14">
        <f t="shared" ca="1" si="20"/>
        <v>7.851401888467267E-4</v>
      </c>
      <c r="H119" s="13">
        <f ca="1">IFERROR(__xludf.DUMMYFUNCTION("GOOGLEFINANCE(""NSE:""&amp;A119,""VOLUME"")"),33200)</f>
        <v>33200</v>
      </c>
      <c r="I119" s="13" t="str">
        <f ca="1">IFERROR(__xludf.DUMMYFUNCTION("AVERAGE(index(GOOGLEFINANCE(""NSE:""&amp;$A119, ""volume"", today()-21, today()-1), , 2))"),"#N/A")</f>
        <v>#N/A</v>
      </c>
      <c r="J119" s="14" t="e">
        <f t="shared" ca="1" si="21"/>
        <v>#VALUE!</v>
      </c>
      <c r="K119" s="13" t="str">
        <f ca="1">IFERROR(__xludf.DUMMYFUNCTION("AVERAGE(index(GOOGLEFINANCE(""NSE:""&amp;$A119, ""close"", today()-6, today()-1), , 2))"),"#N/A")</f>
        <v>#N/A</v>
      </c>
      <c r="L119" s="13" t="str">
        <f ca="1">IFERROR(__xludf.DUMMYFUNCTION("AVERAGE(index(GOOGLEFINANCE(""NSE:""&amp;$A119, ""close"", today()-14, today()-1), , 2))"),"#N/A")</f>
        <v>#N/A</v>
      </c>
      <c r="M119" s="13" t="str">
        <f ca="1">IFERROR(__xludf.DUMMYFUNCTION("AVERAGE(index(GOOGLEFINANCE(""NSE:""&amp;$A119, ""close"", today()-22, today()-1), , 2))"),"#N/A")</f>
        <v>#N/A</v>
      </c>
      <c r="N119" s="13" t="str">
        <f t="shared" ca="1" si="22"/>
        <v>No_Action</v>
      </c>
      <c r="O119" s="13" t="str">
        <f t="shared" ca="1" si="23"/>
        <v>No_Action</v>
      </c>
      <c r="P119" s="13" t="str">
        <f t="shared" ca="1" si="24"/>
        <v>No_Action</v>
      </c>
      <c r="Q119" s="13" t="str">
        <f t="shared" ca="1" si="25"/>
        <v>No_Action</v>
      </c>
      <c r="R119" s="15"/>
      <c r="S119" s="15" t="str">
        <f t="shared" ca="1" si="26"/>
        <v>NoNo</v>
      </c>
      <c r="T119" s="15"/>
      <c r="U119" s="15">
        <f t="shared" ca="1" si="27"/>
        <v>0</v>
      </c>
      <c r="V119" s="15">
        <f t="shared" ca="1" si="28"/>
        <v>0</v>
      </c>
      <c r="W119" s="15" t="str">
        <f t="shared" ca="1" si="29"/>
        <v>No_Action</v>
      </c>
      <c r="X119" s="15"/>
      <c r="Y119" s="15" t="str">
        <f t="shared" ca="1" si="30"/>
        <v>No_Action</v>
      </c>
      <c r="Z119" s="15">
        <f t="shared" ca="1" si="31"/>
        <v>0</v>
      </c>
      <c r="AA119" s="15">
        <f t="shared" ca="1" si="32"/>
        <v>0</v>
      </c>
      <c r="AB119" s="15"/>
      <c r="AC119" s="15" t="str">
        <f t="shared" ca="1" si="33"/>
        <v>NoNo</v>
      </c>
      <c r="AD119" s="15"/>
      <c r="AE119" s="15">
        <f t="shared" ca="1" si="34"/>
        <v>0</v>
      </c>
      <c r="AF119" s="16">
        <f t="shared" ca="1" si="35"/>
        <v>0</v>
      </c>
      <c r="AG119" s="16" t="str">
        <f t="shared" ca="1" si="36"/>
        <v>No_Action</v>
      </c>
      <c r="AH119" s="15"/>
      <c r="AI119" s="15" t="str">
        <f t="shared" ca="1" si="37"/>
        <v>No_Action</v>
      </c>
      <c r="AJ119" s="15">
        <f t="shared" ca="1" si="38"/>
        <v>0</v>
      </c>
      <c r="AK119" s="15">
        <f t="shared" ca="1" si="39"/>
        <v>0</v>
      </c>
    </row>
    <row r="120" spans="1:37" ht="14.5" customHeight="1" x14ac:dyDescent="0.35">
      <c r="A120" s="12" t="s">
        <v>136</v>
      </c>
      <c r="B120" s="13">
        <f ca="1">IFERROR(__xludf.DUMMYFUNCTION("GOOGLEFINANCE(""NSE:""&amp;A120,""PRICE"")"),84.8)</f>
        <v>84.8</v>
      </c>
      <c r="C120" s="13">
        <f ca="1">IFERROR(__xludf.DUMMYFUNCTION("GOOGLEFINANCE(""NSE:""&amp;A120,""PRICEOPEN"")"),82.5)</f>
        <v>82.5</v>
      </c>
      <c r="D120" s="13">
        <f ca="1">IFERROR(__xludf.DUMMYFUNCTION("GOOGLEFINANCE(""NSE:""&amp;A120,""HIGH"")"),85.8)</f>
        <v>85.8</v>
      </c>
      <c r="E120" s="13">
        <f ca="1">IFERROR(__xludf.DUMMYFUNCTION("GOOGLEFINANCE(""NSE:""&amp;A120,""LOW"")"),81.8)</f>
        <v>81.8</v>
      </c>
      <c r="F120" s="13">
        <f ca="1">IFERROR(__xludf.DUMMYFUNCTION("GOOGLEFINANCE(""NSE:""&amp;A120,""closeyest"")"),81.58)</f>
        <v>81.58</v>
      </c>
      <c r="G120" s="14">
        <f t="shared" ca="1" si="20"/>
        <v>2.7122641509433928E-2</v>
      </c>
      <c r="H120" s="13">
        <f ca="1">IFERROR(__xludf.DUMMYFUNCTION("GOOGLEFINANCE(""NSE:""&amp;A120,""VOLUME"")"),3659101)</f>
        <v>3659101</v>
      </c>
      <c r="I120" s="13" t="str">
        <f ca="1">IFERROR(__xludf.DUMMYFUNCTION("AVERAGE(index(GOOGLEFINANCE(""NSE:""&amp;$A120, ""volume"", today()-21, today()-1), , 2))"),"#N/A")</f>
        <v>#N/A</v>
      </c>
      <c r="J120" s="14" t="e">
        <f t="shared" ca="1" si="21"/>
        <v>#VALUE!</v>
      </c>
      <c r="K120" s="13" t="str">
        <f ca="1">IFERROR(__xludf.DUMMYFUNCTION("AVERAGE(index(GOOGLEFINANCE(""NSE:""&amp;$A120, ""close"", today()-6, today()-1), , 2))"),"#N/A")</f>
        <v>#N/A</v>
      </c>
      <c r="L120" s="13" t="str">
        <f ca="1">IFERROR(__xludf.DUMMYFUNCTION("AVERAGE(index(GOOGLEFINANCE(""NSE:""&amp;$A120, ""close"", today()-14, today()-1), , 2))"),"#N/A")</f>
        <v>#N/A</v>
      </c>
      <c r="M120" s="13" t="str">
        <f ca="1">IFERROR(__xludf.DUMMYFUNCTION("AVERAGE(index(GOOGLEFINANCE(""NSE:""&amp;$A120, ""close"", today()-22, today()-1), , 2))"),"#N/A")</f>
        <v>#N/A</v>
      </c>
      <c r="N120" s="13" t="str">
        <f t="shared" ca="1" si="22"/>
        <v>No_Action</v>
      </c>
      <c r="O120" s="13" t="str">
        <f t="shared" ca="1" si="23"/>
        <v>No_Action</v>
      </c>
      <c r="P120" s="13" t="str">
        <f t="shared" ca="1" si="24"/>
        <v>No_Action</v>
      </c>
      <c r="Q120" s="13" t="str">
        <f t="shared" ca="1" si="25"/>
        <v>No_Action</v>
      </c>
      <c r="R120" s="15"/>
      <c r="S120" s="15" t="str">
        <f t="shared" ca="1" si="26"/>
        <v>NoNo</v>
      </c>
      <c r="T120" s="15"/>
      <c r="U120" s="15">
        <f t="shared" ca="1" si="27"/>
        <v>0</v>
      </c>
      <c r="V120" s="15">
        <f t="shared" ca="1" si="28"/>
        <v>0</v>
      </c>
      <c r="W120" s="15" t="str">
        <f t="shared" ca="1" si="29"/>
        <v>No_Action</v>
      </c>
      <c r="X120" s="15"/>
      <c r="Y120" s="15" t="str">
        <f t="shared" ca="1" si="30"/>
        <v>No_Action</v>
      </c>
      <c r="Z120" s="15">
        <f t="shared" ca="1" si="31"/>
        <v>0</v>
      </c>
      <c r="AA120" s="15">
        <f t="shared" ca="1" si="32"/>
        <v>0</v>
      </c>
      <c r="AB120" s="15"/>
      <c r="AC120" s="15" t="str">
        <f t="shared" ca="1" si="33"/>
        <v>NoNo</v>
      </c>
      <c r="AD120" s="15"/>
      <c r="AE120" s="15">
        <f t="shared" ca="1" si="34"/>
        <v>0</v>
      </c>
      <c r="AF120" s="16">
        <f t="shared" ca="1" si="35"/>
        <v>0</v>
      </c>
      <c r="AG120" s="16" t="str">
        <f t="shared" ca="1" si="36"/>
        <v>No_Action</v>
      </c>
      <c r="AH120" s="15"/>
      <c r="AI120" s="15" t="str">
        <f t="shared" ca="1" si="37"/>
        <v>No_Action</v>
      </c>
      <c r="AJ120" s="15">
        <f t="shared" ca="1" si="38"/>
        <v>0</v>
      </c>
      <c r="AK120" s="15">
        <f t="shared" ca="1" si="39"/>
        <v>0</v>
      </c>
    </row>
    <row r="121" spans="1:37" ht="14.5" customHeight="1" x14ac:dyDescent="0.35">
      <c r="A121" s="12" t="s">
        <v>137</v>
      </c>
      <c r="B121" s="13">
        <f ca="1">IFERROR(__xludf.DUMMYFUNCTION("GOOGLEFINANCE(""NSE:""&amp;A121,""PRICE"")"),1111)</f>
        <v>1111</v>
      </c>
      <c r="C121" s="13">
        <f ca="1">IFERROR(__xludf.DUMMYFUNCTION("GOOGLEFINANCE(""NSE:""&amp;A121,""PRICEOPEN"")"),1102.05)</f>
        <v>1102.05</v>
      </c>
      <c r="D121" s="13">
        <f ca="1">IFERROR(__xludf.DUMMYFUNCTION("GOOGLEFINANCE(""NSE:""&amp;A121,""HIGH"")"),1124.8)</f>
        <v>1124.8</v>
      </c>
      <c r="E121" s="13">
        <f ca="1">IFERROR(__xludf.DUMMYFUNCTION("GOOGLEFINANCE(""NSE:""&amp;A121,""LOW"")"),1094.6)</f>
        <v>1094.5999999999999</v>
      </c>
      <c r="F121" s="13">
        <f ca="1">IFERROR(__xludf.DUMMYFUNCTION("GOOGLEFINANCE(""NSE:""&amp;A121,""closeyest"")"),1101.05)</f>
        <v>1101.05</v>
      </c>
      <c r="G121" s="14">
        <f t="shared" ca="1" si="20"/>
        <v>8.0558055805580973E-3</v>
      </c>
      <c r="H121" s="13">
        <f ca="1">IFERROR(__xludf.DUMMYFUNCTION("GOOGLEFINANCE(""NSE:""&amp;A121,""VOLUME"")"),483522)</f>
        <v>483522</v>
      </c>
      <c r="I121" s="13" t="str">
        <f ca="1">IFERROR(__xludf.DUMMYFUNCTION("AVERAGE(index(GOOGLEFINANCE(""NSE:""&amp;$A121, ""volume"", today()-21, today()-1), , 2))"),"#N/A")</f>
        <v>#N/A</v>
      </c>
      <c r="J121" s="14" t="e">
        <f t="shared" ca="1" si="21"/>
        <v>#VALUE!</v>
      </c>
      <c r="K121" s="13" t="str">
        <f ca="1">IFERROR(__xludf.DUMMYFUNCTION("AVERAGE(index(GOOGLEFINANCE(""NSE:""&amp;$A121, ""close"", today()-6, today()-1), , 2))"),"#N/A")</f>
        <v>#N/A</v>
      </c>
      <c r="L121" s="13" t="str">
        <f ca="1">IFERROR(__xludf.DUMMYFUNCTION("AVERAGE(index(GOOGLEFINANCE(""NSE:""&amp;$A121, ""close"", today()-14, today()-1), , 2))"),"#N/A")</f>
        <v>#N/A</v>
      </c>
      <c r="M121" s="13" t="str">
        <f ca="1">IFERROR(__xludf.DUMMYFUNCTION("AVERAGE(index(GOOGLEFINANCE(""NSE:""&amp;$A121, ""close"", today()-22, today()-1), , 2))"),"#N/A")</f>
        <v>#N/A</v>
      </c>
      <c r="N121" s="13" t="str">
        <f t="shared" ca="1" si="22"/>
        <v>No_Action</v>
      </c>
      <c r="O121" s="13" t="str">
        <f t="shared" ca="1" si="23"/>
        <v>No_Action</v>
      </c>
      <c r="P121" s="13" t="str">
        <f t="shared" ca="1" si="24"/>
        <v>No_Action</v>
      </c>
      <c r="Q121" s="13" t="str">
        <f t="shared" ca="1" si="25"/>
        <v>No_Action</v>
      </c>
      <c r="R121" s="15"/>
      <c r="S121" s="15" t="str">
        <f t="shared" ca="1" si="26"/>
        <v>NoNo</v>
      </c>
      <c r="T121" s="15"/>
      <c r="U121" s="15">
        <f t="shared" ca="1" si="27"/>
        <v>0</v>
      </c>
      <c r="V121" s="15">
        <f t="shared" ca="1" si="28"/>
        <v>0</v>
      </c>
      <c r="W121" s="15" t="str">
        <f t="shared" ca="1" si="29"/>
        <v>No_Action</v>
      </c>
      <c r="X121" s="15"/>
      <c r="Y121" s="15" t="str">
        <f t="shared" ca="1" si="30"/>
        <v>No_Action</v>
      </c>
      <c r="Z121" s="15">
        <f t="shared" ca="1" si="31"/>
        <v>0</v>
      </c>
      <c r="AA121" s="15">
        <f t="shared" ca="1" si="32"/>
        <v>0</v>
      </c>
      <c r="AB121" s="15"/>
      <c r="AC121" s="15" t="str">
        <f t="shared" ca="1" si="33"/>
        <v>NoNo</v>
      </c>
      <c r="AD121" s="15"/>
      <c r="AE121" s="15">
        <f t="shared" ca="1" si="34"/>
        <v>0</v>
      </c>
      <c r="AF121" s="16">
        <f t="shared" ca="1" si="35"/>
        <v>0</v>
      </c>
      <c r="AG121" s="16" t="str">
        <f t="shared" ca="1" si="36"/>
        <v>No_Action</v>
      </c>
      <c r="AH121" s="15"/>
      <c r="AI121" s="15" t="str">
        <f t="shared" ca="1" si="37"/>
        <v>No_Action</v>
      </c>
      <c r="AJ121" s="15">
        <f t="shared" ca="1" si="38"/>
        <v>0</v>
      </c>
      <c r="AK121" s="15">
        <f t="shared" ca="1" si="39"/>
        <v>0</v>
      </c>
    </row>
    <row r="122" spans="1:37" ht="14.5" customHeight="1" x14ac:dyDescent="0.35">
      <c r="A122" s="12" t="s">
        <v>138</v>
      </c>
      <c r="B122" s="13">
        <f ca="1">IFERROR(__xludf.DUMMYFUNCTION("GOOGLEFINANCE(""NSE:""&amp;A122,""PRICE"")"),674.45)</f>
        <v>674.45</v>
      </c>
      <c r="C122" s="13">
        <f ca="1">IFERROR(__xludf.DUMMYFUNCTION("GOOGLEFINANCE(""NSE:""&amp;A122,""PRICEOPEN"")"),671.05)</f>
        <v>671.05</v>
      </c>
      <c r="D122" s="13">
        <f ca="1">IFERROR(__xludf.DUMMYFUNCTION("GOOGLEFINANCE(""NSE:""&amp;A122,""HIGH"")"),687)</f>
        <v>687</v>
      </c>
      <c r="E122" s="13">
        <f ca="1">IFERROR(__xludf.DUMMYFUNCTION("GOOGLEFINANCE(""NSE:""&amp;A122,""LOW"")"),670.35)</f>
        <v>670.35</v>
      </c>
      <c r="F122" s="13">
        <f ca="1">IFERROR(__xludf.DUMMYFUNCTION("GOOGLEFINANCE(""NSE:""&amp;A122,""closeyest"")"),667.2)</f>
        <v>667.2</v>
      </c>
      <c r="G122" s="14">
        <f t="shared" ca="1" si="20"/>
        <v>5.0411446363705101E-3</v>
      </c>
      <c r="H122" s="13">
        <f ca="1">IFERROR(__xludf.DUMMYFUNCTION("GOOGLEFINANCE(""NSE:""&amp;A122,""VOLUME"")"),365016)</f>
        <v>365016</v>
      </c>
      <c r="I122" s="13" t="str">
        <f ca="1">IFERROR(__xludf.DUMMYFUNCTION("AVERAGE(index(GOOGLEFINANCE(""NSE:""&amp;$A122, ""volume"", today()-21, today()-1), , 2))"),"#N/A")</f>
        <v>#N/A</v>
      </c>
      <c r="J122" s="14" t="e">
        <f t="shared" ca="1" si="21"/>
        <v>#VALUE!</v>
      </c>
      <c r="K122" s="13" t="str">
        <f ca="1">IFERROR(__xludf.DUMMYFUNCTION("AVERAGE(index(GOOGLEFINANCE(""NSE:""&amp;$A122, ""close"", today()-6, today()-1), , 2))"),"#N/A")</f>
        <v>#N/A</v>
      </c>
      <c r="L122" s="13" t="str">
        <f ca="1">IFERROR(__xludf.DUMMYFUNCTION("AVERAGE(index(GOOGLEFINANCE(""NSE:""&amp;$A122, ""close"", today()-14, today()-1), , 2))"),"#N/A")</f>
        <v>#N/A</v>
      </c>
      <c r="M122" s="13" t="str">
        <f ca="1">IFERROR(__xludf.DUMMYFUNCTION("AVERAGE(index(GOOGLEFINANCE(""NSE:""&amp;$A122, ""close"", today()-22, today()-1), , 2))"),"#N/A")</f>
        <v>#N/A</v>
      </c>
      <c r="N122" s="13" t="str">
        <f t="shared" ca="1" si="22"/>
        <v>No_Action</v>
      </c>
      <c r="O122" s="13" t="str">
        <f t="shared" ca="1" si="23"/>
        <v>No_Action</v>
      </c>
      <c r="P122" s="13" t="str">
        <f t="shared" ca="1" si="24"/>
        <v>No_Action</v>
      </c>
      <c r="Q122" s="13" t="str">
        <f t="shared" ca="1" si="25"/>
        <v>No_Action</v>
      </c>
      <c r="R122" s="15"/>
      <c r="S122" s="15" t="str">
        <f t="shared" ca="1" si="26"/>
        <v>NoNo</v>
      </c>
      <c r="T122" s="15"/>
      <c r="U122" s="15">
        <f t="shared" ca="1" si="27"/>
        <v>0</v>
      </c>
      <c r="V122" s="15">
        <f t="shared" ca="1" si="28"/>
        <v>0</v>
      </c>
      <c r="W122" s="15" t="str">
        <f t="shared" ca="1" si="29"/>
        <v>No_Action</v>
      </c>
      <c r="X122" s="15"/>
      <c r="Y122" s="15" t="str">
        <f t="shared" ca="1" si="30"/>
        <v>No_Action</v>
      </c>
      <c r="Z122" s="15">
        <f t="shared" ca="1" si="31"/>
        <v>0</v>
      </c>
      <c r="AA122" s="15">
        <f t="shared" ca="1" si="32"/>
        <v>0</v>
      </c>
      <c r="AB122" s="15"/>
      <c r="AC122" s="15" t="str">
        <f t="shared" ca="1" si="33"/>
        <v>NoNo</v>
      </c>
      <c r="AD122" s="15"/>
      <c r="AE122" s="15">
        <f t="shared" ca="1" si="34"/>
        <v>0</v>
      </c>
      <c r="AF122" s="16">
        <f t="shared" ca="1" si="35"/>
        <v>0</v>
      </c>
      <c r="AG122" s="16" t="str">
        <f t="shared" ca="1" si="36"/>
        <v>No_Action</v>
      </c>
      <c r="AH122" s="15"/>
      <c r="AI122" s="15" t="str">
        <f t="shared" ca="1" si="37"/>
        <v>No_Action</v>
      </c>
      <c r="AJ122" s="15">
        <f t="shared" ca="1" si="38"/>
        <v>0</v>
      </c>
      <c r="AK122" s="15">
        <f t="shared" ca="1" si="39"/>
        <v>0</v>
      </c>
    </row>
    <row r="123" spans="1:37" ht="14.5" customHeight="1" x14ac:dyDescent="0.35">
      <c r="A123" s="12" t="s">
        <v>139</v>
      </c>
      <c r="B123" s="13">
        <f ca="1">IFERROR(__xludf.DUMMYFUNCTION("GOOGLEFINANCE(""NSE:""&amp;A123,""PRICE"")"),1789)</f>
        <v>1789</v>
      </c>
      <c r="C123" s="13">
        <f ca="1">IFERROR(__xludf.DUMMYFUNCTION("GOOGLEFINANCE(""NSE:""&amp;A123,""PRICEOPEN"")"),1822.25)</f>
        <v>1822.25</v>
      </c>
      <c r="D123" s="13">
        <f ca="1">IFERROR(__xludf.DUMMYFUNCTION("GOOGLEFINANCE(""NSE:""&amp;A123,""HIGH"")"),1838)</f>
        <v>1838</v>
      </c>
      <c r="E123" s="13">
        <f ca="1">IFERROR(__xludf.DUMMYFUNCTION("GOOGLEFINANCE(""NSE:""&amp;A123,""LOW"")"),1781.05)</f>
        <v>1781.05</v>
      </c>
      <c r="F123" s="13">
        <f ca="1">IFERROR(__xludf.DUMMYFUNCTION("GOOGLEFINANCE(""NSE:""&amp;A123,""closeyest"")"),1813.25)</f>
        <v>1813.25</v>
      </c>
      <c r="G123" s="14">
        <f t="shared" ca="1" si="20"/>
        <v>-1.8585802124091673E-2</v>
      </c>
      <c r="H123" s="13">
        <f ca="1">IFERROR(__xludf.DUMMYFUNCTION("GOOGLEFINANCE(""NSE:""&amp;A123,""VOLUME"")"),87607)</f>
        <v>87607</v>
      </c>
      <c r="I123" s="13" t="str">
        <f ca="1">IFERROR(__xludf.DUMMYFUNCTION("AVERAGE(index(GOOGLEFINANCE(""NSE:""&amp;$A123, ""volume"", today()-21, today()-1), , 2))"),"#N/A")</f>
        <v>#N/A</v>
      </c>
      <c r="J123" s="14" t="e">
        <f t="shared" ca="1" si="21"/>
        <v>#VALUE!</v>
      </c>
      <c r="K123" s="13" t="str">
        <f ca="1">IFERROR(__xludf.DUMMYFUNCTION("AVERAGE(index(GOOGLEFINANCE(""NSE:""&amp;$A123, ""close"", today()-6, today()-1), , 2))"),"#N/A")</f>
        <v>#N/A</v>
      </c>
      <c r="L123" s="13" t="str">
        <f ca="1">IFERROR(__xludf.DUMMYFUNCTION("AVERAGE(index(GOOGLEFINANCE(""NSE:""&amp;$A123, ""close"", today()-14, today()-1), , 2))"),"#N/A")</f>
        <v>#N/A</v>
      </c>
      <c r="M123" s="13" t="str">
        <f ca="1">IFERROR(__xludf.DUMMYFUNCTION("AVERAGE(index(GOOGLEFINANCE(""NSE:""&amp;$A123, ""close"", today()-22, today()-1), , 2))"),"#N/A")</f>
        <v>#N/A</v>
      </c>
      <c r="N123" s="13" t="str">
        <f t="shared" ca="1" si="22"/>
        <v>No_Action</v>
      </c>
      <c r="O123" s="13" t="str">
        <f t="shared" ca="1" si="23"/>
        <v>No_Action</v>
      </c>
      <c r="P123" s="13" t="str">
        <f t="shared" ca="1" si="24"/>
        <v>No_Action</v>
      </c>
      <c r="Q123" s="13" t="str">
        <f t="shared" ca="1" si="25"/>
        <v>No_Action</v>
      </c>
      <c r="R123" s="15"/>
      <c r="S123" s="15" t="str">
        <f t="shared" ca="1" si="26"/>
        <v>NoNo</v>
      </c>
      <c r="T123" s="15"/>
      <c r="U123" s="15">
        <f t="shared" ca="1" si="27"/>
        <v>0</v>
      </c>
      <c r="V123" s="15">
        <f t="shared" ca="1" si="28"/>
        <v>0</v>
      </c>
      <c r="W123" s="15" t="str">
        <f t="shared" ca="1" si="29"/>
        <v>No_Action</v>
      </c>
      <c r="X123" s="15"/>
      <c r="Y123" s="15" t="str">
        <f t="shared" ca="1" si="30"/>
        <v>No_Action</v>
      </c>
      <c r="Z123" s="15">
        <f t="shared" ca="1" si="31"/>
        <v>0</v>
      </c>
      <c r="AA123" s="15">
        <f t="shared" ca="1" si="32"/>
        <v>0</v>
      </c>
      <c r="AB123" s="15"/>
      <c r="AC123" s="15" t="str">
        <f t="shared" ca="1" si="33"/>
        <v>NoNo</v>
      </c>
      <c r="AD123" s="15"/>
      <c r="AE123" s="15">
        <f t="shared" ca="1" si="34"/>
        <v>0</v>
      </c>
      <c r="AF123" s="16">
        <f t="shared" ca="1" si="35"/>
        <v>0</v>
      </c>
      <c r="AG123" s="16" t="str">
        <f t="shared" ca="1" si="36"/>
        <v>No_Action</v>
      </c>
      <c r="AH123" s="15"/>
      <c r="AI123" s="15" t="str">
        <f t="shared" ca="1" si="37"/>
        <v>No_Action</v>
      </c>
      <c r="AJ123" s="15">
        <f t="shared" ca="1" si="38"/>
        <v>0</v>
      </c>
      <c r="AK123" s="15">
        <f t="shared" ca="1" si="39"/>
        <v>0</v>
      </c>
    </row>
    <row r="124" spans="1:37" ht="14.5" customHeight="1" x14ac:dyDescent="0.35">
      <c r="A124" s="12" t="s">
        <v>140</v>
      </c>
      <c r="B124" s="13">
        <f ca="1">IFERROR(__xludf.DUMMYFUNCTION("GOOGLEFINANCE(""NSE:""&amp;A124,""PRICE"")"),2327.05)</f>
        <v>2327.0500000000002</v>
      </c>
      <c r="C124" s="13">
        <f ca="1">IFERROR(__xludf.DUMMYFUNCTION("GOOGLEFINANCE(""NSE:""&amp;A124,""PRICEOPEN"")"),2343.15)</f>
        <v>2343.15</v>
      </c>
      <c r="D124" s="13">
        <f ca="1">IFERROR(__xludf.DUMMYFUNCTION("GOOGLEFINANCE(""NSE:""&amp;A124,""HIGH"")"),2363.75)</f>
        <v>2363.75</v>
      </c>
      <c r="E124" s="13">
        <f ca="1">IFERROR(__xludf.DUMMYFUNCTION("GOOGLEFINANCE(""NSE:""&amp;A124,""LOW"")"),2322.05)</f>
        <v>2322.0500000000002</v>
      </c>
      <c r="F124" s="13">
        <f ca="1">IFERROR(__xludf.DUMMYFUNCTION("GOOGLEFINANCE(""NSE:""&amp;A124,""closeyest"")"),2343.15)</f>
        <v>2343.15</v>
      </c>
      <c r="G124" s="14">
        <f t="shared" ca="1" si="20"/>
        <v>-6.9186308845963374E-3</v>
      </c>
      <c r="H124" s="13">
        <f ca="1">IFERROR(__xludf.DUMMYFUNCTION("GOOGLEFINANCE(""NSE:""&amp;A124,""VOLUME"")"),60787)</f>
        <v>60787</v>
      </c>
      <c r="I124" s="13" t="str">
        <f ca="1">IFERROR(__xludf.DUMMYFUNCTION("AVERAGE(index(GOOGLEFINANCE(""NSE:""&amp;$A124, ""volume"", today()-21, today()-1), , 2))"),"#N/A")</f>
        <v>#N/A</v>
      </c>
      <c r="J124" s="14" t="e">
        <f t="shared" ca="1" si="21"/>
        <v>#VALUE!</v>
      </c>
      <c r="K124" s="13" t="str">
        <f ca="1">IFERROR(__xludf.DUMMYFUNCTION("AVERAGE(index(GOOGLEFINANCE(""NSE:""&amp;$A124, ""close"", today()-6, today()-1), , 2))"),"#N/A")</f>
        <v>#N/A</v>
      </c>
      <c r="L124" s="13" t="str">
        <f ca="1">IFERROR(__xludf.DUMMYFUNCTION("AVERAGE(index(GOOGLEFINANCE(""NSE:""&amp;$A124, ""close"", today()-14, today()-1), , 2))"),"#N/A")</f>
        <v>#N/A</v>
      </c>
      <c r="M124" s="13" t="str">
        <f ca="1">IFERROR(__xludf.DUMMYFUNCTION("AVERAGE(index(GOOGLEFINANCE(""NSE:""&amp;$A124, ""close"", today()-22, today()-1), , 2))"),"#N/A")</f>
        <v>#N/A</v>
      </c>
      <c r="N124" s="13" t="str">
        <f t="shared" ca="1" si="22"/>
        <v>No_Action</v>
      </c>
      <c r="O124" s="13" t="str">
        <f t="shared" ca="1" si="23"/>
        <v>No_Action</v>
      </c>
      <c r="P124" s="13" t="str">
        <f t="shared" ca="1" si="24"/>
        <v>No_Action</v>
      </c>
      <c r="Q124" s="13" t="str">
        <f t="shared" ca="1" si="25"/>
        <v>No_Action</v>
      </c>
      <c r="R124" s="15"/>
      <c r="S124" s="15" t="str">
        <f t="shared" ca="1" si="26"/>
        <v>NoNo</v>
      </c>
      <c r="T124" s="15"/>
      <c r="U124" s="15">
        <f t="shared" ca="1" si="27"/>
        <v>0</v>
      </c>
      <c r="V124" s="15">
        <f t="shared" ca="1" si="28"/>
        <v>0</v>
      </c>
      <c r="W124" s="15" t="str">
        <f t="shared" ca="1" si="29"/>
        <v>No_Action</v>
      </c>
      <c r="X124" s="15"/>
      <c r="Y124" s="15" t="str">
        <f t="shared" ca="1" si="30"/>
        <v>No_Action</v>
      </c>
      <c r="Z124" s="15">
        <f t="shared" ca="1" si="31"/>
        <v>0</v>
      </c>
      <c r="AA124" s="15">
        <f t="shared" ca="1" si="32"/>
        <v>0</v>
      </c>
      <c r="AB124" s="15"/>
      <c r="AC124" s="15" t="str">
        <f t="shared" ca="1" si="33"/>
        <v>NoNo</v>
      </c>
      <c r="AD124" s="15"/>
      <c r="AE124" s="15">
        <f t="shared" ca="1" si="34"/>
        <v>0</v>
      </c>
      <c r="AF124" s="16">
        <f t="shared" ca="1" si="35"/>
        <v>0</v>
      </c>
      <c r="AG124" s="16" t="str">
        <f t="shared" ca="1" si="36"/>
        <v>No_Action</v>
      </c>
      <c r="AH124" s="15"/>
      <c r="AI124" s="15" t="str">
        <f t="shared" ca="1" si="37"/>
        <v>No_Action</v>
      </c>
      <c r="AJ124" s="15">
        <f t="shared" ca="1" si="38"/>
        <v>0</v>
      </c>
      <c r="AK124" s="15">
        <f t="shared" ca="1" si="39"/>
        <v>0</v>
      </c>
    </row>
    <row r="125" spans="1:37" ht="14.5" customHeight="1" x14ac:dyDescent="0.35">
      <c r="A125" s="12" t="s">
        <v>141</v>
      </c>
      <c r="B125" s="13">
        <f ca="1">IFERROR(__xludf.DUMMYFUNCTION("GOOGLEFINANCE(""NSE:""&amp;A125,""PRICE"")"),1180)</f>
        <v>1180</v>
      </c>
      <c r="C125" s="13">
        <f ca="1">IFERROR(__xludf.DUMMYFUNCTION("GOOGLEFINANCE(""NSE:""&amp;A125,""PRICEOPEN"")"),1182.2)</f>
        <v>1182.2</v>
      </c>
      <c r="D125" s="13">
        <f ca="1">IFERROR(__xludf.DUMMYFUNCTION("GOOGLEFINANCE(""NSE:""&amp;A125,""HIGH"")"),1189.3)</f>
        <v>1189.3</v>
      </c>
      <c r="E125" s="13">
        <f ca="1">IFERROR(__xludf.DUMMYFUNCTION("GOOGLEFINANCE(""NSE:""&amp;A125,""LOW"")"),1169.05)</f>
        <v>1169.05</v>
      </c>
      <c r="F125" s="13">
        <f ca="1">IFERROR(__xludf.DUMMYFUNCTION("GOOGLEFINANCE(""NSE:""&amp;A125,""closeyest"")"),1175.3)</f>
        <v>1175.3</v>
      </c>
      <c r="G125" s="14">
        <f t="shared" ca="1" si="20"/>
        <v>-1.8644067796610554E-3</v>
      </c>
      <c r="H125" s="13">
        <f ca="1">IFERROR(__xludf.DUMMYFUNCTION("GOOGLEFINANCE(""NSE:""&amp;A125,""VOLUME"")"),208475)</f>
        <v>208475</v>
      </c>
      <c r="I125" s="13" t="str">
        <f ca="1">IFERROR(__xludf.DUMMYFUNCTION("AVERAGE(index(GOOGLEFINANCE(""NSE:""&amp;$A125, ""volume"", today()-21, today()-1), , 2))"),"#N/A")</f>
        <v>#N/A</v>
      </c>
      <c r="J125" s="14" t="e">
        <f t="shared" ca="1" si="21"/>
        <v>#VALUE!</v>
      </c>
      <c r="K125" s="13" t="str">
        <f ca="1">IFERROR(__xludf.DUMMYFUNCTION("AVERAGE(index(GOOGLEFINANCE(""NSE:""&amp;$A125, ""close"", today()-6, today()-1), , 2))"),"#N/A")</f>
        <v>#N/A</v>
      </c>
      <c r="L125" s="13" t="str">
        <f ca="1">IFERROR(__xludf.DUMMYFUNCTION("AVERAGE(index(GOOGLEFINANCE(""NSE:""&amp;$A125, ""close"", today()-14, today()-1), , 2))"),"#N/A")</f>
        <v>#N/A</v>
      </c>
      <c r="M125" s="13" t="str">
        <f ca="1">IFERROR(__xludf.DUMMYFUNCTION("AVERAGE(index(GOOGLEFINANCE(""NSE:""&amp;$A125, ""close"", today()-22, today()-1), , 2))"),"#N/A")</f>
        <v>#N/A</v>
      </c>
      <c r="N125" s="13" t="str">
        <f t="shared" ca="1" si="22"/>
        <v>No_Action</v>
      </c>
      <c r="O125" s="13" t="str">
        <f t="shared" ca="1" si="23"/>
        <v>No_Action</v>
      </c>
      <c r="P125" s="13" t="str">
        <f t="shared" ca="1" si="24"/>
        <v>No_Action</v>
      </c>
      <c r="Q125" s="13" t="str">
        <f t="shared" ca="1" si="25"/>
        <v>No_Action</v>
      </c>
      <c r="R125" s="15"/>
      <c r="S125" s="15" t="str">
        <f t="shared" ca="1" si="26"/>
        <v>NoNo</v>
      </c>
      <c r="T125" s="15"/>
      <c r="U125" s="15">
        <f t="shared" ca="1" si="27"/>
        <v>0</v>
      </c>
      <c r="V125" s="15">
        <f t="shared" ca="1" si="28"/>
        <v>0</v>
      </c>
      <c r="W125" s="15" t="str">
        <f t="shared" ca="1" si="29"/>
        <v>No_Action</v>
      </c>
      <c r="X125" s="15"/>
      <c r="Y125" s="15" t="str">
        <f t="shared" ca="1" si="30"/>
        <v>No_Action</v>
      </c>
      <c r="Z125" s="15">
        <f t="shared" ca="1" si="31"/>
        <v>0</v>
      </c>
      <c r="AA125" s="15">
        <f t="shared" ca="1" si="32"/>
        <v>0</v>
      </c>
      <c r="AB125" s="15"/>
      <c r="AC125" s="15" t="str">
        <f t="shared" ca="1" si="33"/>
        <v>NoNo</v>
      </c>
      <c r="AD125" s="15"/>
      <c r="AE125" s="15">
        <f t="shared" ca="1" si="34"/>
        <v>0</v>
      </c>
      <c r="AF125" s="16">
        <f t="shared" ca="1" si="35"/>
        <v>0</v>
      </c>
      <c r="AG125" s="16" t="str">
        <f t="shared" ca="1" si="36"/>
        <v>No_Action</v>
      </c>
      <c r="AH125" s="15"/>
      <c r="AI125" s="15" t="str">
        <f t="shared" ca="1" si="37"/>
        <v>No_Action</v>
      </c>
      <c r="AJ125" s="15">
        <f t="shared" ca="1" si="38"/>
        <v>0</v>
      </c>
      <c r="AK125" s="15">
        <f t="shared" ca="1" si="39"/>
        <v>0</v>
      </c>
    </row>
    <row r="126" spans="1:37" ht="14.5" customHeight="1" x14ac:dyDescent="0.35">
      <c r="A126" s="12" t="s">
        <v>142</v>
      </c>
      <c r="B126" s="13">
        <f ca="1">IFERROR(__xludf.DUMMYFUNCTION("GOOGLEFINANCE(""NSE:""&amp;A126,""PRICE"")"),1252)</f>
        <v>1252</v>
      </c>
      <c r="C126" s="13">
        <f ca="1">IFERROR(__xludf.DUMMYFUNCTION("GOOGLEFINANCE(""NSE:""&amp;A126,""PRICEOPEN"")"),1276.95)</f>
        <v>1276.95</v>
      </c>
      <c r="D126" s="13">
        <f ca="1">IFERROR(__xludf.DUMMYFUNCTION("GOOGLEFINANCE(""NSE:""&amp;A126,""HIGH"")"),1282.45)</f>
        <v>1282.45</v>
      </c>
      <c r="E126" s="13">
        <f ca="1">IFERROR(__xludf.DUMMYFUNCTION("GOOGLEFINANCE(""NSE:""&amp;A126,""LOW"")"),1246.1)</f>
        <v>1246.0999999999999</v>
      </c>
      <c r="F126" s="13">
        <f ca="1">IFERROR(__xludf.DUMMYFUNCTION("GOOGLEFINANCE(""NSE:""&amp;A126,""closeyest"")"),1277.45)</f>
        <v>1277.45</v>
      </c>
      <c r="G126" s="14">
        <f t="shared" ca="1" si="20"/>
        <v>-1.9928115015974478E-2</v>
      </c>
      <c r="H126" s="13">
        <f ca="1">IFERROR(__xludf.DUMMYFUNCTION("GOOGLEFINANCE(""NSE:""&amp;A126,""VOLUME"")"),45507)</f>
        <v>45507</v>
      </c>
      <c r="I126" s="13" t="str">
        <f ca="1">IFERROR(__xludf.DUMMYFUNCTION("AVERAGE(index(GOOGLEFINANCE(""NSE:""&amp;$A126, ""volume"", today()-21, today()-1), , 2))"),"#N/A")</f>
        <v>#N/A</v>
      </c>
      <c r="J126" s="14" t="e">
        <f t="shared" ca="1" si="21"/>
        <v>#VALUE!</v>
      </c>
      <c r="K126" s="13" t="str">
        <f ca="1">IFERROR(__xludf.DUMMYFUNCTION("AVERAGE(index(GOOGLEFINANCE(""NSE:""&amp;$A126, ""close"", today()-6, today()-1), , 2))"),"#N/A")</f>
        <v>#N/A</v>
      </c>
      <c r="L126" s="13" t="str">
        <f ca="1">IFERROR(__xludf.DUMMYFUNCTION("AVERAGE(index(GOOGLEFINANCE(""NSE:""&amp;$A126, ""close"", today()-14, today()-1), , 2))"),"#N/A")</f>
        <v>#N/A</v>
      </c>
      <c r="M126" s="13" t="str">
        <f ca="1">IFERROR(__xludf.DUMMYFUNCTION("AVERAGE(index(GOOGLEFINANCE(""NSE:""&amp;$A126, ""close"", today()-22, today()-1), , 2))"),"#N/A")</f>
        <v>#N/A</v>
      </c>
      <c r="N126" s="13" t="str">
        <f t="shared" ca="1" si="22"/>
        <v>No_Action</v>
      </c>
      <c r="O126" s="13" t="str">
        <f t="shared" ca="1" si="23"/>
        <v>No_Action</v>
      </c>
      <c r="P126" s="13" t="str">
        <f t="shared" ca="1" si="24"/>
        <v>No_Action</v>
      </c>
      <c r="Q126" s="13" t="str">
        <f t="shared" ca="1" si="25"/>
        <v>No_Action</v>
      </c>
      <c r="R126" s="15"/>
      <c r="S126" s="15" t="str">
        <f t="shared" ca="1" si="26"/>
        <v>NoNo</v>
      </c>
      <c r="T126" s="15"/>
      <c r="U126" s="15">
        <f t="shared" ca="1" si="27"/>
        <v>0</v>
      </c>
      <c r="V126" s="15">
        <f t="shared" ca="1" si="28"/>
        <v>0</v>
      </c>
      <c r="W126" s="15" t="str">
        <f t="shared" ca="1" si="29"/>
        <v>No_Action</v>
      </c>
      <c r="X126" s="15"/>
      <c r="Y126" s="15" t="str">
        <f t="shared" ca="1" si="30"/>
        <v>No_Action</v>
      </c>
      <c r="Z126" s="15">
        <f t="shared" ca="1" si="31"/>
        <v>0</v>
      </c>
      <c r="AA126" s="15">
        <f t="shared" ca="1" si="32"/>
        <v>0</v>
      </c>
      <c r="AB126" s="15"/>
      <c r="AC126" s="15" t="str">
        <f t="shared" ca="1" si="33"/>
        <v>NoNo</v>
      </c>
      <c r="AD126" s="15"/>
      <c r="AE126" s="15">
        <f t="shared" ca="1" si="34"/>
        <v>0</v>
      </c>
      <c r="AF126" s="16">
        <f t="shared" ca="1" si="35"/>
        <v>0</v>
      </c>
      <c r="AG126" s="16" t="str">
        <f t="shared" ca="1" si="36"/>
        <v>No_Action</v>
      </c>
      <c r="AH126" s="15"/>
      <c r="AI126" s="15" t="str">
        <f t="shared" ca="1" si="37"/>
        <v>No_Action</v>
      </c>
      <c r="AJ126" s="15">
        <f t="shared" ca="1" si="38"/>
        <v>0</v>
      </c>
      <c r="AK126" s="15">
        <f t="shared" ca="1" si="39"/>
        <v>0</v>
      </c>
    </row>
    <row r="127" spans="1:37" ht="14.5" customHeight="1" x14ac:dyDescent="0.35">
      <c r="A127" s="12" t="s">
        <v>143</v>
      </c>
      <c r="B127" s="13">
        <f ca="1">IFERROR(__xludf.DUMMYFUNCTION("GOOGLEFINANCE(""NSE:""&amp;A127,""PRICE"")"),223.1)</f>
        <v>223.1</v>
      </c>
      <c r="C127" s="13">
        <f ca="1">IFERROR(__xludf.DUMMYFUNCTION("GOOGLEFINANCE(""NSE:""&amp;A127,""PRICEOPEN"")"),216.47)</f>
        <v>216.47</v>
      </c>
      <c r="D127" s="13">
        <f ca="1">IFERROR(__xludf.DUMMYFUNCTION("GOOGLEFINANCE(""NSE:""&amp;A127,""HIGH"")"),224.2)</f>
        <v>224.2</v>
      </c>
      <c r="E127" s="13">
        <f ca="1">IFERROR(__xludf.DUMMYFUNCTION("GOOGLEFINANCE(""NSE:""&amp;A127,""LOW"")"),214.09)</f>
        <v>214.09</v>
      </c>
      <c r="F127" s="13">
        <f ca="1">IFERROR(__xludf.DUMMYFUNCTION("GOOGLEFINANCE(""NSE:""&amp;A127,""closeyest"")"),214.57)</f>
        <v>214.57</v>
      </c>
      <c r="G127" s="14">
        <f t="shared" ca="1" si="20"/>
        <v>2.9717615419094557E-2</v>
      </c>
      <c r="H127" s="13">
        <f ca="1">IFERROR(__xludf.DUMMYFUNCTION("GOOGLEFINANCE(""NSE:""&amp;A127,""VOLUME"")"),4714517)</f>
        <v>4714517</v>
      </c>
      <c r="I127" s="13" t="str">
        <f ca="1">IFERROR(__xludf.DUMMYFUNCTION("AVERAGE(index(GOOGLEFINANCE(""NSE:""&amp;$A127, ""volume"", today()-21, today()-1), , 2))"),"#N/A")</f>
        <v>#N/A</v>
      </c>
      <c r="J127" s="14" t="e">
        <f t="shared" ca="1" si="21"/>
        <v>#VALUE!</v>
      </c>
      <c r="K127" s="13" t="str">
        <f ca="1">IFERROR(__xludf.DUMMYFUNCTION("AVERAGE(index(GOOGLEFINANCE(""NSE:""&amp;$A127, ""close"", today()-6, today()-1), , 2))"),"#N/A")</f>
        <v>#N/A</v>
      </c>
      <c r="L127" s="13" t="str">
        <f ca="1">IFERROR(__xludf.DUMMYFUNCTION("AVERAGE(index(GOOGLEFINANCE(""NSE:""&amp;$A127, ""close"", today()-14, today()-1), , 2))"),"#N/A")</f>
        <v>#N/A</v>
      </c>
      <c r="M127" s="13" t="str">
        <f ca="1">IFERROR(__xludf.DUMMYFUNCTION("AVERAGE(index(GOOGLEFINANCE(""NSE:""&amp;$A127, ""close"", today()-22, today()-1), , 2))"),"#N/A")</f>
        <v>#N/A</v>
      </c>
      <c r="N127" s="13" t="str">
        <f t="shared" ca="1" si="22"/>
        <v>No_Action</v>
      </c>
      <c r="O127" s="13" t="str">
        <f t="shared" ca="1" si="23"/>
        <v>No_Action</v>
      </c>
      <c r="P127" s="13" t="str">
        <f t="shared" ca="1" si="24"/>
        <v>No_Action</v>
      </c>
      <c r="Q127" s="13" t="str">
        <f t="shared" ca="1" si="25"/>
        <v>No_Action</v>
      </c>
      <c r="R127" s="15"/>
      <c r="S127" s="15" t="str">
        <f t="shared" ca="1" si="26"/>
        <v>NoNo</v>
      </c>
      <c r="T127" s="15"/>
      <c r="U127" s="15">
        <f t="shared" ca="1" si="27"/>
        <v>0</v>
      </c>
      <c r="V127" s="15">
        <f t="shared" ca="1" si="28"/>
        <v>0</v>
      </c>
      <c r="W127" s="15" t="str">
        <f t="shared" ca="1" si="29"/>
        <v>No_Action</v>
      </c>
      <c r="X127" s="15"/>
      <c r="Y127" s="15" t="str">
        <f t="shared" ca="1" si="30"/>
        <v>No_Action</v>
      </c>
      <c r="Z127" s="15">
        <f t="shared" ca="1" si="31"/>
        <v>0</v>
      </c>
      <c r="AA127" s="15">
        <f t="shared" ca="1" si="32"/>
        <v>0</v>
      </c>
      <c r="AB127" s="15"/>
      <c r="AC127" s="15" t="str">
        <f t="shared" ca="1" si="33"/>
        <v>NoNo</v>
      </c>
      <c r="AD127" s="15"/>
      <c r="AE127" s="15">
        <f t="shared" ca="1" si="34"/>
        <v>0</v>
      </c>
      <c r="AF127" s="16">
        <f t="shared" ca="1" si="35"/>
        <v>0</v>
      </c>
      <c r="AG127" s="16" t="str">
        <f t="shared" ca="1" si="36"/>
        <v>No_Action</v>
      </c>
      <c r="AH127" s="15"/>
      <c r="AI127" s="15" t="str">
        <f t="shared" ca="1" si="37"/>
        <v>No_Action</v>
      </c>
      <c r="AJ127" s="15">
        <f t="shared" ca="1" si="38"/>
        <v>0</v>
      </c>
      <c r="AK127" s="15">
        <f t="shared" ca="1" si="39"/>
        <v>0</v>
      </c>
    </row>
    <row r="128" spans="1:37" ht="14.5" customHeight="1" x14ac:dyDescent="0.35">
      <c r="A128" s="12" t="s">
        <v>144</v>
      </c>
      <c r="B128" s="13">
        <f ca="1">IFERROR(__xludf.DUMMYFUNCTION("GOOGLEFINANCE(""NSE:""&amp;A128,""PRICE"")"),5689)</f>
        <v>5689</v>
      </c>
      <c r="C128" s="13">
        <f ca="1">IFERROR(__xludf.DUMMYFUNCTION("GOOGLEFINANCE(""NSE:""&amp;A128,""PRICEOPEN"")"),5595.05)</f>
        <v>5595.05</v>
      </c>
      <c r="D128" s="13">
        <f ca="1">IFERROR(__xludf.DUMMYFUNCTION("GOOGLEFINANCE(""NSE:""&amp;A128,""HIGH"")"),5689)</f>
        <v>5689</v>
      </c>
      <c r="E128" s="13">
        <f ca="1">IFERROR(__xludf.DUMMYFUNCTION("GOOGLEFINANCE(""NSE:""&amp;A128,""LOW"")"),5575)</f>
        <v>5575</v>
      </c>
      <c r="F128" s="13">
        <f ca="1">IFERROR(__xludf.DUMMYFUNCTION("GOOGLEFINANCE(""NSE:""&amp;A128,""closeyest"")"),5594.45)</f>
        <v>5594.45</v>
      </c>
      <c r="G128" s="14">
        <f t="shared" ca="1" si="20"/>
        <v>1.6514325892072388E-2</v>
      </c>
      <c r="H128" s="13">
        <f ca="1">IFERROR(__xludf.DUMMYFUNCTION("GOOGLEFINANCE(""NSE:""&amp;A128,""VOLUME"")"),30882)</f>
        <v>30882</v>
      </c>
      <c r="I128" s="13" t="str">
        <f ca="1">IFERROR(__xludf.DUMMYFUNCTION("AVERAGE(index(GOOGLEFINANCE(""NSE:""&amp;$A128, ""volume"", today()-21, today()-1), , 2))"),"#N/A")</f>
        <v>#N/A</v>
      </c>
      <c r="J128" s="14" t="e">
        <f t="shared" ca="1" si="21"/>
        <v>#VALUE!</v>
      </c>
      <c r="K128" s="13" t="str">
        <f ca="1">IFERROR(__xludf.DUMMYFUNCTION("AVERAGE(index(GOOGLEFINANCE(""NSE:""&amp;$A128, ""close"", today()-6, today()-1), , 2))"),"#N/A")</f>
        <v>#N/A</v>
      </c>
      <c r="L128" s="13" t="str">
        <f ca="1">IFERROR(__xludf.DUMMYFUNCTION("AVERAGE(index(GOOGLEFINANCE(""NSE:""&amp;$A128, ""close"", today()-14, today()-1), , 2))"),"#N/A")</f>
        <v>#N/A</v>
      </c>
      <c r="M128" s="13" t="str">
        <f ca="1">IFERROR(__xludf.DUMMYFUNCTION("AVERAGE(index(GOOGLEFINANCE(""NSE:""&amp;$A128, ""close"", today()-22, today()-1), , 2))"),"#N/A")</f>
        <v>#N/A</v>
      </c>
      <c r="N128" s="13" t="str">
        <f t="shared" ca="1" si="22"/>
        <v>No_Action</v>
      </c>
      <c r="O128" s="13" t="str">
        <f t="shared" ca="1" si="23"/>
        <v>No_Action</v>
      </c>
      <c r="P128" s="13" t="str">
        <f t="shared" ca="1" si="24"/>
        <v>No_Action</v>
      </c>
      <c r="Q128" s="13" t="str">
        <f t="shared" ca="1" si="25"/>
        <v>No_Action</v>
      </c>
      <c r="R128" s="15"/>
      <c r="S128" s="15" t="str">
        <f t="shared" ca="1" si="26"/>
        <v>NoNo</v>
      </c>
      <c r="T128" s="15"/>
      <c r="U128" s="15">
        <f t="shared" ca="1" si="27"/>
        <v>0</v>
      </c>
      <c r="V128" s="15">
        <f t="shared" ca="1" si="28"/>
        <v>0</v>
      </c>
      <c r="W128" s="15" t="str">
        <f t="shared" ca="1" si="29"/>
        <v>No_Action</v>
      </c>
      <c r="X128" s="15"/>
      <c r="Y128" s="15" t="str">
        <f t="shared" ca="1" si="30"/>
        <v>No_Action</v>
      </c>
      <c r="Z128" s="15">
        <f t="shared" ca="1" si="31"/>
        <v>0</v>
      </c>
      <c r="AA128" s="15">
        <f t="shared" ca="1" si="32"/>
        <v>0</v>
      </c>
      <c r="AB128" s="15"/>
      <c r="AC128" s="15" t="str">
        <f t="shared" ca="1" si="33"/>
        <v>NoNo</v>
      </c>
      <c r="AD128" s="15"/>
      <c r="AE128" s="15">
        <f t="shared" ca="1" si="34"/>
        <v>0</v>
      </c>
      <c r="AF128" s="16">
        <f t="shared" ca="1" si="35"/>
        <v>0</v>
      </c>
      <c r="AG128" s="16" t="str">
        <f t="shared" ca="1" si="36"/>
        <v>No_Action</v>
      </c>
      <c r="AH128" s="15"/>
      <c r="AI128" s="15" t="str">
        <f t="shared" ca="1" si="37"/>
        <v>No_Action</v>
      </c>
      <c r="AJ128" s="15">
        <f t="shared" ca="1" si="38"/>
        <v>0</v>
      </c>
      <c r="AK128" s="15">
        <f t="shared" ca="1" si="39"/>
        <v>0</v>
      </c>
    </row>
    <row r="129" spans="1:37" ht="14.5" customHeight="1" x14ac:dyDescent="0.35">
      <c r="A129" s="12" t="s">
        <v>145</v>
      </c>
      <c r="B129" s="13">
        <f ca="1">IFERROR(__xludf.DUMMYFUNCTION("GOOGLEFINANCE(""NSE:""&amp;A129,""PRICE"")"),424)</f>
        <v>424</v>
      </c>
      <c r="C129" s="13">
        <f ca="1">IFERROR(__xludf.DUMMYFUNCTION("GOOGLEFINANCE(""NSE:""&amp;A129,""PRICEOPEN"")"),423.8)</f>
        <v>423.8</v>
      </c>
      <c r="D129" s="13">
        <f ca="1">IFERROR(__xludf.DUMMYFUNCTION("GOOGLEFINANCE(""NSE:""&amp;A129,""HIGH"")"),445.45)</f>
        <v>445.45</v>
      </c>
      <c r="E129" s="13">
        <f ca="1">IFERROR(__xludf.DUMMYFUNCTION("GOOGLEFINANCE(""NSE:""&amp;A129,""LOW"")"),418)</f>
        <v>418</v>
      </c>
      <c r="F129" s="13">
        <f ca="1">IFERROR(__xludf.DUMMYFUNCTION("GOOGLEFINANCE(""NSE:""&amp;A129,""closeyest"")"),418.9)</f>
        <v>418.9</v>
      </c>
      <c r="G129" s="14">
        <f t="shared" ca="1" si="20"/>
        <v>4.7169811320752034E-4</v>
      </c>
      <c r="H129" s="13">
        <f ca="1">IFERROR(__xludf.DUMMYFUNCTION("GOOGLEFINANCE(""NSE:""&amp;A129,""VOLUME"")"),3032398)</f>
        <v>3032398</v>
      </c>
      <c r="I129" s="13" t="str">
        <f ca="1">IFERROR(__xludf.DUMMYFUNCTION("AVERAGE(index(GOOGLEFINANCE(""NSE:""&amp;$A129, ""volume"", today()-21, today()-1), , 2))"),"#N/A")</f>
        <v>#N/A</v>
      </c>
      <c r="J129" s="14" t="e">
        <f t="shared" ca="1" si="21"/>
        <v>#VALUE!</v>
      </c>
      <c r="K129" s="13" t="str">
        <f ca="1">IFERROR(__xludf.DUMMYFUNCTION("AVERAGE(index(GOOGLEFINANCE(""NSE:""&amp;$A129, ""close"", today()-6, today()-1), , 2))"),"#N/A")</f>
        <v>#N/A</v>
      </c>
      <c r="L129" s="13" t="str">
        <f ca="1">IFERROR(__xludf.DUMMYFUNCTION("AVERAGE(index(GOOGLEFINANCE(""NSE:""&amp;$A129, ""close"", today()-14, today()-1), , 2))"),"#N/A")</f>
        <v>#N/A</v>
      </c>
      <c r="M129" s="13" t="str">
        <f ca="1">IFERROR(__xludf.DUMMYFUNCTION("AVERAGE(index(GOOGLEFINANCE(""NSE:""&amp;$A129, ""close"", today()-22, today()-1), , 2))"),"#N/A")</f>
        <v>#N/A</v>
      </c>
      <c r="N129" s="13" t="str">
        <f t="shared" ca="1" si="22"/>
        <v>No_Action</v>
      </c>
      <c r="O129" s="13" t="str">
        <f t="shared" ca="1" si="23"/>
        <v>No_Action</v>
      </c>
      <c r="P129" s="13" t="str">
        <f t="shared" ca="1" si="24"/>
        <v>No_Action</v>
      </c>
      <c r="Q129" s="13" t="str">
        <f t="shared" ca="1" si="25"/>
        <v>No_Action</v>
      </c>
      <c r="R129" s="15"/>
      <c r="S129" s="15" t="str">
        <f t="shared" ca="1" si="26"/>
        <v>NoNo</v>
      </c>
      <c r="T129" s="15"/>
      <c r="U129" s="15">
        <f t="shared" ca="1" si="27"/>
        <v>0</v>
      </c>
      <c r="V129" s="15">
        <f t="shared" ca="1" si="28"/>
        <v>0</v>
      </c>
      <c r="W129" s="15" t="str">
        <f t="shared" ca="1" si="29"/>
        <v>No_Action</v>
      </c>
      <c r="X129" s="15"/>
      <c r="Y129" s="15" t="str">
        <f t="shared" ca="1" si="30"/>
        <v>No_Action</v>
      </c>
      <c r="Z129" s="15">
        <f t="shared" ca="1" si="31"/>
        <v>0</v>
      </c>
      <c r="AA129" s="15">
        <f t="shared" ca="1" si="32"/>
        <v>0</v>
      </c>
      <c r="AB129" s="15"/>
      <c r="AC129" s="15" t="str">
        <f t="shared" ca="1" si="33"/>
        <v>NoNo</v>
      </c>
      <c r="AD129" s="15"/>
      <c r="AE129" s="15">
        <f t="shared" ca="1" si="34"/>
        <v>0</v>
      </c>
      <c r="AF129" s="16">
        <f t="shared" ca="1" si="35"/>
        <v>0</v>
      </c>
      <c r="AG129" s="16" t="str">
        <f t="shared" ca="1" si="36"/>
        <v>No_Action</v>
      </c>
      <c r="AH129" s="15"/>
      <c r="AI129" s="15" t="str">
        <f t="shared" ca="1" si="37"/>
        <v>No_Action</v>
      </c>
      <c r="AJ129" s="15">
        <f t="shared" ca="1" si="38"/>
        <v>0</v>
      </c>
      <c r="AK129" s="15">
        <f t="shared" ca="1" si="39"/>
        <v>0</v>
      </c>
    </row>
    <row r="130" spans="1:37" ht="14.5" customHeight="1" x14ac:dyDescent="0.35">
      <c r="A130" s="12" t="s">
        <v>146</v>
      </c>
      <c r="B130" s="13">
        <f ca="1">IFERROR(__xludf.DUMMYFUNCTION("GOOGLEFINANCE(""NSE:""&amp;A130,""PRICE"")"),579.1)</f>
        <v>579.1</v>
      </c>
      <c r="C130" s="13">
        <f ca="1">IFERROR(__xludf.DUMMYFUNCTION("GOOGLEFINANCE(""NSE:""&amp;A130,""PRICEOPEN"")"),574.05)</f>
        <v>574.04999999999995</v>
      </c>
      <c r="D130" s="13">
        <f ca="1">IFERROR(__xludf.DUMMYFUNCTION("GOOGLEFINANCE(""NSE:""&amp;A130,""HIGH"")"),583)</f>
        <v>583</v>
      </c>
      <c r="E130" s="13">
        <f ca="1">IFERROR(__xludf.DUMMYFUNCTION("GOOGLEFINANCE(""NSE:""&amp;A130,""LOW"")"),569.25)</f>
        <v>569.25</v>
      </c>
      <c r="F130" s="13">
        <f ca="1">IFERROR(__xludf.DUMMYFUNCTION("GOOGLEFINANCE(""NSE:""&amp;A130,""closeyest"")"),575.65)</f>
        <v>575.65</v>
      </c>
      <c r="G130" s="14">
        <f t="shared" ref="G130:G193" ca="1" si="40">(B130-C130)/B130</f>
        <v>8.7204282507340157E-3</v>
      </c>
      <c r="H130" s="13">
        <f ca="1">IFERROR(__xludf.DUMMYFUNCTION("GOOGLEFINANCE(""NSE:""&amp;A130,""VOLUME"")"),1631498)</f>
        <v>1631498</v>
      </c>
      <c r="I130" s="13" t="str">
        <f ca="1">IFERROR(__xludf.DUMMYFUNCTION("AVERAGE(index(GOOGLEFINANCE(""NSE:""&amp;$A130, ""volume"", today()-21, today()-1), , 2))"),"#N/A")</f>
        <v>#N/A</v>
      </c>
      <c r="J130" s="14" t="e">
        <f t="shared" ref="J130:J193" ca="1" si="41">(H130-I130)/I130</f>
        <v>#VALUE!</v>
      </c>
      <c r="K130" s="13" t="str">
        <f ca="1">IFERROR(__xludf.DUMMYFUNCTION("AVERAGE(index(GOOGLEFINANCE(""NSE:""&amp;$A130, ""close"", today()-6, today()-1), , 2))"),"#N/A")</f>
        <v>#N/A</v>
      </c>
      <c r="L130" s="13" t="str">
        <f ca="1">IFERROR(__xludf.DUMMYFUNCTION("AVERAGE(index(GOOGLEFINANCE(""NSE:""&amp;$A130, ""close"", today()-14, today()-1), , 2))"),"#N/A")</f>
        <v>#N/A</v>
      </c>
      <c r="M130" s="13" t="str">
        <f ca="1">IFERROR(__xludf.DUMMYFUNCTION("AVERAGE(index(GOOGLEFINANCE(""NSE:""&amp;$A130, ""close"", today()-22, today()-1), , 2))"),"#N/A")</f>
        <v>#N/A</v>
      </c>
      <c r="N130" s="13" t="str">
        <f t="shared" ref="N130:N193" ca="1" si="42">AG130</f>
        <v>No_Action</v>
      </c>
      <c r="O130" s="13" t="str">
        <f t="shared" ref="O130:O193" ca="1" si="43">AI130</f>
        <v>No_Action</v>
      </c>
      <c r="P130" s="13" t="str">
        <f t="shared" ref="P130:P193" ca="1" si="44">W130</f>
        <v>No_Action</v>
      </c>
      <c r="Q130" s="13" t="str">
        <f t="shared" ref="Q130:Q193" ca="1" si="45">Y130</f>
        <v>No_Action</v>
      </c>
      <c r="R130" s="15"/>
      <c r="S130" s="15" t="str">
        <f t="shared" ref="S130:S193" ca="1" si="46">LEFT(W130,2)&amp;LEFT(Y130,2)</f>
        <v>NoNo</v>
      </c>
      <c r="T130" s="15"/>
      <c r="U130" s="15">
        <f t="shared" ref="U130:U193" ca="1" si="47">IF(K130&lt;L130,1,0)</f>
        <v>0</v>
      </c>
      <c r="V130" s="15">
        <f t="shared" ref="V130:V193" ca="1" si="48">IF(H130&gt;I130,1,0)</f>
        <v>0</v>
      </c>
      <c r="W130" s="15" t="str">
        <f t="shared" ref="W130:W193" ca="1" si="49">IF(SUM(U130:V130)=2,"Anticipatory_Sell","No_Action")</f>
        <v>No_Action</v>
      </c>
      <c r="X130" s="15"/>
      <c r="Y130" s="15" t="str">
        <f t="shared" ref="Y130:Y193" ca="1" si="50">IF(SUM(Z130:AA130)=2,"Confirm_Sell","No_Action")</f>
        <v>No_Action</v>
      </c>
      <c r="Z130" s="15">
        <f t="shared" ref="Z130:Z193" ca="1" si="51">IF(H130&gt;I130,1,0)</f>
        <v>0</v>
      </c>
      <c r="AA130" s="15">
        <f t="shared" ref="AA130:AA193" ca="1" si="52">IF(K130&lt;M130,1,0)</f>
        <v>0</v>
      </c>
      <c r="AB130" s="15"/>
      <c r="AC130" s="15" t="str">
        <f t="shared" ref="AC130:AC193" ca="1" si="53">LEFT(AG130,2)&amp;LEFT(AI130,2)</f>
        <v>NoNo</v>
      </c>
      <c r="AD130" s="15"/>
      <c r="AE130" s="15">
        <f t="shared" ref="AE130:AE193" ca="1" si="54">IF(K130&gt;L130,1,0)</f>
        <v>0</v>
      </c>
      <c r="AF130" s="16">
        <f t="shared" ref="AF130:AF193" ca="1" si="55">IF(H130&gt;I130,1,0)</f>
        <v>0</v>
      </c>
      <c r="AG130" s="16" t="str">
        <f t="shared" ref="AG130:AG193" ca="1" si="56">IF(SUM(AE130:AF130)=2,"Anticipatory_Buy","No_Action")</f>
        <v>No_Action</v>
      </c>
      <c r="AH130" s="15"/>
      <c r="AI130" s="15" t="str">
        <f t="shared" ref="AI130:AI193" ca="1" si="57">IF(SUM(AJ130:AK130)=2,"Confirm_Buy","No_Action")</f>
        <v>No_Action</v>
      </c>
      <c r="AJ130" s="15">
        <f t="shared" ref="AJ130:AJ193" ca="1" si="58">IF(H130&gt;I130,1,0)</f>
        <v>0</v>
      </c>
      <c r="AK130" s="15">
        <f t="shared" ref="AK130:AK193" ca="1" si="59">IF(K130&gt;M130,1,0)</f>
        <v>0</v>
      </c>
    </row>
    <row r="131" spans="1:37" ht="14.5" customHeight="1" x14ac:dyDescent="0.35">
      <c r="A131" s="12" t="s">
        <v>147</v>
      </c>
      <c r="B131" s="13" t="str">
        <f ca="1">IFERROR(__xludf.DUMMYFUNCTION("GOOGLEFINANCE(""NSE:""&amp;A131,""PRICE"")"),"#N/A")</f>
        <v>#N/A</v>
      </c>
      <c r="C131" s="13" t="str">
        <f ca="1">IFERROR(__xludf.DUMMYFUNCTION("GOOGLEFINANCE(""NSE:""&amp;A131,""PRICEOPEN"")"),"#N/A")</f>
        <v>#N/A</v>
      </c>
      <c r="D131" s="13" t="str">
        <f ca="1">IFERROR(__xludf.DUMMYFUNCTION("GOOGLEFINANCE(""NSE:""&amp;A131,""HIGH"")"),"#N/A")</f>
        <v>#N/A</v>
      </c>
      <c r="E131" s="13" t="str">
        <f ca="1">IFERROR(__xludf.DUMMYFUNCTION("GOOGLEFINANCE(""NSE:""&amp;A131,""LOW"")"),"#N/A")</f>
        <v>#N/A</v>
      </c>
      <c r="F131" s="13" t="str">
        <f ca="1">IFERROR(__xludf.DUMMYFUNCTION("GOOGLEFINANCE(""NSE:""&amp;A131,""closeyest"")"),"#N/A")</f>
        <v>#N/A</v>
      </c>
      <c r="G131" s="14" t="e">
        <f t="shared" ca="1" si="40"/>
        <v>#VALUE!</v>
      </c>
      <c r="H131" s="13" t="str">
        <f ca="1">IFERROR(__xludf.DUMMYFUNCTION("GOOGLEFINANCE(""NSE:""&amp;A131,""VOLUME"")"),"#N/A")</f>
        <v>#N/A</v>
      </c>
      <c r="I131" s="13" t="str">
        <f ca="1">IFERROR(__xludf.DUMMYFUNCTION("AVERAGE(index(GOOGLEFINANCE(""NSE:""&amp;$A131, ""volume"", today()-21, today()-1), , 2))"),"#N/A")</f>
        <v>#N/A</v>
      </c>
      <c r="J131" s="14" t="e">
        <f t="shared" ca="1" si="41"/>
        <v>#VALUE!</v>
      </c>
      <c r="K131" s="13" t="str">
        <f ca="1">IFERROR(__xludf.DUMMYFUNCTION("AVERAGE(index(GOOGLEFINANCE(""NSE:""&amp;$A131, ""close"", today()-6, today()-1), , 2))"),"#N/A")</f>
        <v>#N/A</v>
      </c>
      <c r="L131" s="13" t="str">
        <f ca="1">IFERROR(__xludf.DUMMYFUNCTION("AVERAGE(index(GOOGLEFINANCE(""NSE:""&amp;$A131, ""close"", today()-14, today()-1), , 2))"),"#N/A")</f>
        <v>#N/A</v>
      </c>
      <c r="M131" s="13" t="str">
        <f ca="1">IFERROR(__xludf.DUMMYFUNCTION("AVERAGE(index(GOOGLEFINANCE(""NSE:""&amp;$A131, ""close"", today()-22, today()-1), , 2))"),"#N/A")</f>
        <v>#N/A</v>
      </c>
      <c r="N131" s="13" t="str">
        <f t="shared" ca="1" si="42"/>
        <v>No_Action</v>
      </c>
      <c r="O131" s="13" t="str">
        <f t="shared" ca="1" si="43"/>
        <v>No_Action</v>
      </c>
      <c r="P131" s="13" t="str">
        <f t="shared" ca="1" si="44"/>
        <v>No_Action</v>
      </c>
      <c r="Q131" s="13" t="str">
        <f t="shared" ca="1" si="45"/>
        <v>No_Action</v>
      </c>
      <c r="R131" s="15"/>
      <c r="S131" s="15" t="str">
        <f t="shared" ca="1" si="46"/>
        <v>NoNo</v>
      </c>
      <c r="T131" s="15"/>
      <c r="U131" s="15">
        <f t="shared" ca="1" si="47"/>
        <v>0</v>
      </c>
      <c r="V131" s="15">
        <f t="shared" ca="1" si="48"/>
        <v>0</v>
      </c>
      <c r="W131" s="15" t="str">
        <f t="shared" ca="1" si="49"/>
        <v>No_Action</v>
      </c>
      <c r="X131" s="15"/>
      <c r="Y131" s="15" t="str">
        <f t="shared" ca="1" si="50"/>
        <v>No_Action</v>
      </c>
      <c r="Z131" s="15">
        <f t="shared" ca="1" si="51"/>
        <v>0</v>
      </c>
      <c r="AA131" s="15">
        <f t="shared" ca="1" si="52"/>
        <v>0</v>
      </c>
      <c r="AB131" s="15"/>
      <c r="AC131" s="15" t="str">
        <f t="shared" ca="1" si="53"/>
        <v>NoNo</v>
      </c>
      <c r="AD131" s="15"/>
      <c r="AE131" s="15">
        <f t="shared" ca="1" si="54"/>
        <v>0</v>
      </c>
      <c r="AF131" s="16">
        <f t="shared" ca="1" si="55"/>
        <v>0</v>
      </c>
      <c r="AG131" s="16" t="str">
        <f t="shared" ca="1" si="56"/>
        <v>No_Action</v>
      </c>
      <c r="AH131" s="15"/>
      <c r="AI131" s="15" t="str">
        <f t="shared" ca="1" si="57"/>
        <v>No_Action</v>
      </c>
      <c r="AJ131" s="15">
        <f t="shared" ca="1" si="58"/>
        <v>0</v>
      </c>
      <c r="AK131" s="15">
        <f t="shared" ca="1" si="59"/>
        <v>0</v>
      </c>
    </row>
    <row r="132" spans="1:37" ht="14.5" customHeight="1" x14ac:dyDescent="0.35">
      <c r="A132" s="12" t="s">
        <v>148</v>
      </c>
      <c r="B132" s="13">
        <f ca="1">IFERROR(__xludf.DUMMYFUNCTION("GOOGLEFINANCE(""NSE:""&amp;A132,""PRICE"")"),585)</f>
        <v>585</v>
      </c>
      <c r="C132" s="13">
        <f ca="1">IFERROR(__xludf.DUMMYFUNCTION("GOOGLEFINANCE(""NSE:""&amp;A132,""PRICEOPEN"")"),586.45)</f>
        <v>586.45000000000005</v>
      </c>
      <c r="D132" s="13">
        <f ca="1">IFERROR(__xludf.DUMMYFUNCTION("GOOGLEFINANCE(""NSE:""&amp;A132,""HIGH"")"),591.2)</f>
        <v>591.20000000000005</v>
      </c>
      <c r="E132" s="13">
        <f ca="1">IFERROR(__xludf.DUMMYFUNCTION("GOOGLEFINANCE(""NSE:""&amp;A132,""LOW"")"),580.05)</f>
        <v>580.04999999999995</v>
      </c>
      <c r="F132" s="13">
        <f ca="1">IFERROR(__xludf.DUMMYFUNCTION("GOOGLEFINANCE(""NSE:""&amp;A132,""closeyest"")"),586.45)</f>
        <v>586.45000000000005</v>
      </c>
      <c r="G132" s="14">
        <f t="shared" ca="1" si="40"/>
        <v>-2.4786324786325565E-3</v>
      </c>
      <c r="H132" s="13">
        <f ca="1">IFERROR(__xludf.DUMMYFUNCTION("GOOGLEFINANCE(""NSE:""&amp;A132,""VOLUME"")"),13367)</f>
        <v>13367</v>
      </c>
      <c r="I132" s="13" t="str">
        <f ca="1">IFERROR(__xludf.DUMMYFUNCTION("AVERAGE(index(GOOGLEFINANCE(""NSE:""&amp;$A132, ""volume"", today()-21, today()-1), , 2))"),"#N/A")</f>
        <v>#N/A</v>
      </c>
      <c r="J132" s="14" t="e">
        <f t="shared" ca="1" si="41"/>
        <v>#VALUE!</v>
      </c>
      <c r="K132" s="13" t="str">
        <f ca="1">IFERROR(__xludf.DUMMYFUNCTION("AVERAGE(index(GOOGLEFINANCE(""NSE:""&amp;$A132, ""close"", today()-6, today()-1), , 2))"),"#N/A")</f>
        <v>#N/A</v>
      </c>
      <c r="L132" s="13" t="str">
        <f ca="1">IFERROR(__xludf.DUMMYFUNCTION("AVERAGE(index(GOOGLEFINANCE(""NSE:""&amp;$A132, ""close"", today()-14, today()-1), , 2))"),"#N/A")</f>
        <v>#N/A</v>
      </c>
      <c r="M132" s="13" t="str">
        <f ca="1">IFERROR(__xludf.DUMMYFUNCTION("AVERAGE(index(GOOGLEFINANCE(""NSE:""&amp;$A132, ""close"", today()-22, today()-1), , 2))"),"#N/A")</f>
        <v>#N/A</v>
      </c>
      <c r="N132" s="13" t="str">
        <f t="shared" ca="1" si="42"/>
        <v>No_Action</v>
      </c>
      <c r="O132" s="13" t="str">
        <f t="shared" ca="1" si="43"/>
        <v>No_Action</v>
      </c>
      <c r="P132" s="13" t="str">
        <f t="shared" ca="1" si="44"/>
        <v>No_Action</v>
      </c>
      <c r="Q132" s="13" t="str">
        <f t="shared" ca="1" si="45"/>
        <v>No_Action</v>
      </c>
      <c r="R132" s="15"/>
      <c r="S132" s="15" t="str">
        <f t="shared" ca="1" si="46"/>
        <v>NoNo</v>
      </c>
      <c r="T132" s="15"/>
      <c r="U132" s="15">
        <f t="shared" ca="1" si="47"/>
        <v>0</v>
      </c>
      <c r="V132" s="15">
        <f t="shared" ca="1" si="48"/>
        <v>0</v>
      </c>
      <c r="W132" s="15" t="str">
        <f t="shared" ca="1" si="49"/>
        <v>No_Action</v>
      </c>
      <c r="X132" s="15"/>
      <c r="Y132" s="15" t="str">
        <f t="shared" ca="1" si="50"/>
        <v>No_Action</v>
      </c>
      <c r="Z132" s="15">
        <f t="shared" ca="1" si="51"/>
        <v>0</v>
      </c>
      <c r="AA132" s="15">
        <f t="shared" ca="1" si="52"/>
        <v>0</v>
      </c>
      <c r="AB132" s="15"/>
      <c r="AC132" s="15" t="str">
        <f t="shared" ca="1" si="53"/>
        <v>NoNo</v>
      </c>
      <c r="AD132" s="15"/>
      <c r="AE132" s="15">
        <f t="shared" ca="1" si="54"/>
        <v>0</v>
      </c>
      <c r="AF132" s="16">
        <f t="shared" ca="1" si="55"/>
        <v>0</v>
      </c>
      <c r="AG132" s="16" t="str">
        <f t="shared" ca="1" si="56"/>
        <v>No_Action</v>
      </c>
      <c r="AH132" s="15"/>
      <c r="AI132" s="15" t="str">
        <f t="shared" ca="1" si="57"/>
        <v>No_Action</v>
      </c>
      <c r="AJ132" s="15">
        <f t="shared" ca="1" si="58"/>
        <v>0</v>
      </c>
      <c r="AK132" s="15">
        <f t="shared" ca="1" si="59"/>
        <v>0</v>
      </c>
    </row>
    <row r="133" spans="1:37" ht="14.5" customHeight="1" x14ac:dyDescent="0.35">
      <c r="A133" s="12" t="s">
        <v>149</v>
      </c>
      <c r="B133" s="13">
        <f ca="1">IFERROR(__xludf.DUMMYFUNCTION("GOOGLEFINANCE(""NSE:""&amp;A133,""PRICE"")"),348.5)</f>
        <v>348.5</v>
      </c>
      <c r="C133" s="13">
        <f ca="1">IFERROR(__xludf.DUMMYFUNCTION("GOOGLEFINANCE(""NSE:""&amp;A133,""PRICEOPEN"")"),358.25)</f>
        <v>358.25</v>
      </c>
      <c r="D133" s="13">
        <f ca="1">IFERROR(__xludf.DUMMYFUNCTION("GOOGLEFINANCE(""NSE:""&amp;A133,""HIGH"")"),359.85)</f>
        <v>359.85</v>
      </c>
      <c r="E133" s="13">
        <f ca="1">IFERROR(__xludf.DUMMYFUNCTION("GOOGLEFINANCE(""NSE:""&amp;A133,""LOW"")"),347.65)</f>
        <v>347.65</v>
      </c>
      <c r="F133" s="13">
        <f ca="1">IFERROR(__xludf.DUMMYFUNCTION("GOOGLEFINANCE(""NSE:""&amp;A133,""closeyest"")"),353.15)</f>
        <v>353.15</v>
      </c>
      <c r="G133" s="14">
        <f t="shared" ca="1" si="40"/>
        <v>-2.7977044476327116E-2</v>
      </c>
      <c r="H133" s="13">
        <f ca="1">IFERROR(__xludf.DUMMYFUNCTION("GOOGLEFINANCE(""NSE:""&amp;A133,""VOLUME"")"),69432)</f>
        <v>69432</v>
      </c>
      <c r="I133" s="13" t="str">
        <f ca="1">IFERROR(__xludf.DUMMYFUNCTION("AVERAGE(index(GOOGLEFINANCE(""NSE:""&amp;$A133, ""volume"", today()-21, today()-1), , 2))"),"#N/A")</f>
        <v>#N/A</v>
      </c>
      <c r="J133" s="14" t="e">
        <f t="shared" ca="1" si="41"/>
        <v>#VALUE!</v>
      </c>
      <c r="K133" s="13" t="str">
        <f ca="1">IFERROR(__xludf.DUMMYFUNCTION("AVERAGE(index(GOOGLEFINANCE(""NSE:""&amp;$A133, ""close"", today()-6, today()-1), , 2))"),"#N/A")</f>
        <v>#N/A</v>
      </c>
      <c r="L133" s="13" t="str">
        <f ca="1">IFERROR(__xludf.DUMMYFUNCTION("AVERAGE(index(GOOGLEFINANCE(""NSE:""&amp;$A133, ""close"", today()-14, today()-1), , 2))"),"#N/A")</f>
        <v>#N/A</v>
      </c>
      <c r="M133" s="13" t="str">
        <f ca="1">IFERROR(__xludf.DUMMYFUNCTION("AVERAGE(index(GOOGLEFINANCE(""NSE:""&amp;$A133, ""close"", today()-22, today()-1), , 2))"),"#N/A")</f>
        <v>#N/A</v>
      </c>
      <c r="N133" s="13" t="str">
        <f t="shared" ca="1" si="42"/>
        <v>No_Action</v>
      </c>
      <c r="O133" s="13" t="str">
        <f t="shared" ca="1" si="43"/>
        <v>No_Action</v>
      </c>
      <c r="P133" s="13" t="str">
        <f t="shared" ca="1" si="44"/>
        <v>No_Action</v>
      </c>
      <c r="Q133" s="13" t="str">
        <f t="shared" ca="1" si="45"/>
        <v>No_Action</v>
      </c>
      <c r="R133" s="15"/>
      <c r="S133" s="15" t="str">
        <f t="shared" ca="1" si="46"/>
        <v>NoNo</v>
      </c>
      <c r="T133" s="15"/>
      <c r="U133" s="15">
        <f t="shared" ca="1" si="47"/>
        <v>0</v>
      </c>
      <c r="V133" s="15">
        <f t="shared" ca="1" si="48"/>
        <v>0</v>
      </c>
      <c r="W133" s="15" t="str">
        <f t="shared" ca="1" si="49"/>
        <v>No_Action</v>
      </c>
      <c r="X133" s="15"/>
      <c r="Y133" s="15" t="str">
        <f t="shared" ca="1" si="50"/>
        <v>No_Action</v>
      </c>
      <c r="Z133" s="15">
        <f t="shared" ca="1" si="51"/>
        <v>0</v>
      </c>
      <c r="AA133" s="15">
        <f t="shared" ca="1" si="52"/>
        <v>0</v>
      </c>
      <c r="AB133" s="15"/>
      <c r="AC133" s="15" t="str">
        <f t="shared" ca="1" si="53"/>
        <v>NoNo</v>
      </c>
      <c r="AD133" s="15"/>
      <c r="AE133" s="15">
        <f t="shared" ca="1" si="54"/>
        <v>0</v>
      </c>
      <c r="AF133" s="16">
        <f t="shared" ca="1" si="55"/>
        <v>0</v>
      </c>
      <c r="AG133" s="16" t="str">
        <f t="shared" ca="1" si="56"/>
        <v>No_Action</v>
      </c>
      <c r="AH133" s="15"/>
      <c r="AI133" s="15" t="str">
        <f t="shared" ca="1" si="57"/>
        <v>No_Action</v>
      </c>
      <c r="AJ133" s="15">
        <f t="shared" ca="1" si="58"/>
        <v>0</v>
      </c>
      <c r="AK133" s="15">
        <f t="shared" ca="1" si="59"/>
        <v>0</v>
      </c>
    </row>
    <row r="134" spans="1:37" ht="14.5" customHeight="1" x14ac:dyDescent="0.35">
      <c r="A134" s="12" t="s">
        <v>150</v>
      </c>
      <c r="B134" s="13">
        <f ca="1">IFERROR(__xludf.DUMMYFUNCTION("GOOGLEFINANCE(""NSE:""&amp;A134,""PRICE"")"),193.3)</f>
        <v>193.3</v>
      </c>
      <c r="C134" s="13">
        <f ca="1">IFERROR(__xludf.DUMMYFUNCTION("GOOGLEFINANCE(""NSE:""&amp;A134,""PRICEOPEN"")"),192.8)</f>
        <v>192.8</v>
      </c>
      <c r="D134" s="13">
        <f ca="1">IFERROR(__xludf.DUMMYFUNCTION("GOOGLEFINANCE(""NSE:""&amp;A134,""HIGH"")"),194.8)</f>
        <v>194.8</v>
      </c>
      <c r="E134" s="13">
        <f ca="1">IFERROR(__xludf.DUMMYFUNCTION("GOOGLEFINANCE(""NSE:""&amp;A134,""LOW"")"),190.86)</f>
        <v>190.86</v>
      </c>
      <c r="F134" s="13">
        <f ca="1">IFERROR(__xludf.DUMMYFUNCTION("GOOGLEFINANCE(""NSE:""&amp;A134,""closeyest"")"),193.27)</f>
        <v>193.27</v>
      </c>
      <c r="G134" s="14">
        <f t="shared" ca="1" si="40"/>
        <v>2.5866528711846869E-3</v>
      </c>
      <c r="H134" s="13">
        <f ca="1">IFERROR(__xludf.DUMMYFUNCTION("GOOGLEFINANCE(""NSE:""&amp;A134,""VOLUME"")"),880063)</f>
        <v>880063</v>
      </c>
      <c r="I134" s="13" t="str">
        <f ca="1">IFERROR(__xludf.DUMMYFUNCTION("AVERAGE(index(GOOGLEFINANCE(""NSE:""&amp;$A134, ""volume"", today()-21, today()-1), , 2))"),"#N/A")</f>
        <v>#N/A</v>
      </c>
      <c r="J134" s="14" t="e">
        <f t="shared" ca="1" si="41"/>
        <v>#VALUE!</v>
      </c>
      <c r="K134" s="13" t="str">
        <f ca="1">IFERROR(__xludf.DUMMYFUNCTION("AVERAGE(index(GOOGLEFINANCE(""NSE:""&amp;$A134, ""close"", today()-6, today()-1), , 2))"),"#N/A")</f>
        <v>#N/A</v>
      </c>
      <c r="L134" s="13" t="str">
        <f ca="1">IFERROR(__xludf.DUMMYFUNCTION("AVERAGE(index(GOOGLEFINANCE(""NSE:""&amp;$A134, ""close"", today()-14, today()-1), , 2))"),"#N/A")</f>
        <v>#N/A</v>
      </c>
      <c r="M134" s="13" t="str">
        <f ca="1">IFERROR(__xludf.DUMMYFUNCTION("AVERAGE(index(GOOGLEFINANCE(""NSE:""&amp;$A134, ""close"", today()-22, today()-1), , 2))"),"#N/A")</f>
        <v>#N/A</v>
      </c>
      <c r="N134" s="13" t="str">
        <f t="shared" ca="1" si="42"/>
        <v>No_Action</v>
      </c>
      <c r="O134" s="13" t="str">
        <f t="shared" ca="1" si="43"/>
        <v>No_Action</v>
      </c>
      <c r="P134" s="13" t="str">
        <f t="shared" ca="1" si="44"/>
        <v>No_Action</v>
      </c>
      <c r="Q134" s="13" t="str">
        <f t="shared" ca="1" si="45"/>
        <v>No_Action</v>
      </c>
      <c r="R134" s="15"/>
      <c r="S134" s="15" t="str">
        <f t="shared" ca="1" si="46"/>
        <v>NoNo</v>
      </c>
      <c r="T134" s="15"/>
      <c r="U134" s="15">
        <f t="shared" ca="1" si="47"/>
        <v>0</v>
      </c>
      <c r="V134" s="15">
        <f t="shared" ca="1" si="48"/>
        <v>0</v>
      </c>
      <c r="W134" s="15" t="str">
        <f t="shared" ca="1" si="49"/>
        <v>No_Action</v>
      </c>
      <c r="X134" s="15"/>
      <c r="Y134" s="15" t="str">
        <f t="shared" ca="1" si="50"/>
        <v>No_Action</v>
      </c>
      <c r="Z134" s="15">
        <f t="shared" ca="1" si="51"/>
        <v>0</v>
      </c>
      <c r="AA134" s="15">
        <f t="shared" ca="1" si="52"/>
        <v>0</v>
      </c>
      <c r="AB134" s="15"/>
      <c r="AC134" s="15" t="str">
        <f t="shared" ca="1" si="53"/>
        <v>NoNo</v>
      </c>
      <c r="AD134" s="15"/>
      <c r="AE134" s="15">
        <f t="shared" ca="1" si="54"/>
        <v>0</v>
      </c>
      <c r="AF134" s="16">
        <f t="shared" ca="1" si="55"/>
        <v>0</v>
      </c>
      <c r="AG134" s="16" t="str">
        <f t="shared" ca="1" si="56"/>
        <v>No_Action</v>
      </c>
      <c r="AH134" s="15"/>
      <c r="AI134" s="15" t="str">
        <f t="shared" ca="1" si="57"/>
        <v>No_Action</v>
      </c>
      <c r="AJ134" s="15">
        <f t="shared" ca="1" si="58"/>
        <v>0</v>
      </c>
      <c r="AK134" s="15">
        <f t="shared" ca="1" si="59"/>
        <v>0</v>
      </c>
    </row>
    <row r="135" spans="1:37" ht="14.5" customHeight="1" x14ac:dyDescent="0.35">
      <c r="A135" s="12" t="s">
        <v>151</v>
      </c>
      <c r="B135" s="13">
        <f ca="1">IFERROR(__xludf.DUMMYFUNCTION("GOOGLEFINANCE(""NSE:""&amp;A135,""PRICE"")"),371.6)</f>
        <v>371.6</v>
      </c>
      <c r="C135" s="13">
        <f ca="1">IFERROR(__xludf.DUMMYFUNCTION("GOOGLEFINANCE(""NSE:""&amp;A135,""PRICEOPEN"")"),383.55)</f>
        <v>383.55</v>
      </c>
      <c r="D135" s="13">
        <f ca="1">IFERROR(__xludf.DUMMYFUNCTION("GOOGLEFINANCE(""NSE:""&amp;A135,""HIGH"")"),384.7)</f>
        <v>384.7</v>
      </c>
      <c r="E135" s="13">
        <f ca="1">IFERROR(__xludf.DUMMYFUNCTION("GOOGLEFINANCE(""NSE:""&amp;A135,""LOW"")"),369.7)</f>
        <v>369.7</v>
      </c>
      <c r="F135" s="13">
        <f ca="1">IFERROR(__xludf.DUMMYFUNCTION("GOOGLEFINANCE(""NSE:""&amp;A135,""closeyest"")"),381.6)</f>
        <v>381.6</v>
      </c>
      <c r="G135" s="14">
        <f t="shared" ca="1" si="40"/>
        <v>-3.2158234660925697E-2</v>
      </c>
      <c r="H135" s="13">
        <f ca="1">IFERROR(__xludf.DUMMYFUNCTION("GOOGLEFINANCE(""NSE:""&amp;A135,""VOLUME"")"),737595)</f>
        <v>737595</v>
      </c>
      <c r="I135" s="13" t="str">
        <f ca="1">IFERROR(__xludf.DUMMYFUNCTION("AVERAGE(index(GOOGLEFINANCE(""NSE:""&amp;$A135, ""volume"", today()-21, today()-1), , 2))"),"#N/A")</f>
        <v>#N/A</v>
      </c>
      <c r="J135" s="14" t="e">
        <f t="shared" ca="1" si="41"/>
        <v>#VALUE!</v>
      </c>
      <c r="K135" s="13" t="str">
        <f ca="1">IFERROR(__xludf.DUMMYFUNCTION("AVERAGE(index(GOOGLEFINANCE(""NSE:""&amp;$A135, ""close"", today()-6, today()-1), , 2))"),"#N/A")</f>
        <v>#N/A</v>
      </c>
      <c r="L135" s="13" t="str">
        <f ca="1">IFERROR(__xludf.DUMMYFUNCTION("AVERAGE(index(GOOGLEFINANCE(""NSE:""&amp;$A135, ""close"", today()-14, today()-1), , 2))"),"#N/A")</f>
        <v>#N/A</v>
      </c>
      <c r="M135" s="13" t="str">
        <f ca="1">IFERROR(__xludf.DUMMYFUNCTION("AVERAGE(index(GOOGLEFINANCE(""NSE:""&amp;$A135, ""close"", today()-22, today()-1), , 2))"),"#N/A")</f>
        <v>#N/A</v>
      </c>
      <c r="N135" s="13" t="str">
        <f t="shared" ca="1" si="42"/>
        <v>No_Action</v>
      </c>
      <c r="O135" s="13" t="str">
        <f t="shared" ca="1" si="43"/>
        <v>No_Action</v>
      </c>
      <c r="P135" s="13" t="str">
        <f t="shared" ca="1" si="44"/>
        <v>No_Action</v>
      </c>
      <c r="Q135" s="13" t="str">
        <f t="shared" ca="1" si="45"/>
        <v>No_Action</v>
      </c>
      <c r="R135" s="15"/>
      <c r="S135" s="15" t="str">
        <f t="shared" ca="1" si="46"/>
        <v>NoNo</v>
      </c>
      <c r="T135" s="15"/>
      <c r="U135" s="15">
        <f t="shared" ca="1" si="47"/>
        <v>0</v>
      </c>
      <c r="V135" s="15">
        <f t="shared" ca="1" si="48"/>
        <v>0</v>
      </c>
      <c r="W135" s="15" t="str">
        <f t="shared" ca="1" si="49"/>
        <v>No_Action</v>
      </c>
      <c r="X135" s="15"/>
      <c r="Y135" s="15" t="str">
        <f t="shared" ca="1" si="50"/>
        <v>No_Action</v>
      </c>
      <c r="Z135" s="15">
        <f t="shared" ca="1" si="51"/>
        <v>0</v>
      </c>
      <c r="AA135" s="15">
        <f t="shared" ca="1" si="52"/>
        <v>0</v>
      </c>
      <c r="AB135" s="15"/>
      <c r="AC135" s="15" t="str">
        <f t="shared" ca="1" si="53"/>
        <v>NoNo</v>
      </c>
      <c r="AD135" s="15"/>
      <c r="AE135" s="15">
        <f t="shared" ca="1" si="54"/>
        <v>0</v>
      </c>
      <c r="AF135" s="16">
        <f t="shared" ca="1" si="55"/>
        <v>0</v>
      </c>
      <c r="AG135" s="16" t="str">
        <f t="shared" ca="1" si="56"/>
        <v>No_Action</v>
      </c>
      <c r="AH135" s="15"/>
      <c r="AI135" s="15" t="str">
        <f t="shared" ca="1" si="57"/>
        <v>No_Action</v>
      </c>
      <c r="AJ135" s="15">
        <f t="shared" ca="1" si="58"/>
        <v>0</v>
      </c>
      <c r="AK135" s="15">
        <f t="shared" ca="1" si="59"/>
        <v>0</v>
      </c>
    </row>
    <row r="136" spans="1:37" ht="14.5" customHeight="1" x14ac:dyDescent="0.35">
      <c r="A136" s="12" t="s">
        <v>152</v>
      </c>
      <c r="B136" s="13">
        <f ca="1">IFERROR(__xludf.DUMMYFUNCTION("GOOGLEFINANCE(""NSE:""&amp;A136,""PRICE"")"),509)</f>
        <v>509</v>
      </c>
      <c r="C136" s="13">
        <f ca="1">IFERROR(__xludf.DUMMYFUNCTION("GOOGLEFINANCE(""NSE:""&amp;A136,""PRICEOPEN"")"),512.7)</f>
        <v>512.70000000000005</v>
      </c>
      <c r="D136" s="13">
        <f ca="1">IFERROR(__xludf.DUMMYFUNCTION("GOOGLEFINANCE(""NSE:""&amp;A136,""HIGH"")"),520.3)</f>
        <v>520.29999999999995</v>
      </c>
      <c r="E136" s="13">
        <f ca="1">IFERROR(__xludf.DUMMYFUNCTION("GOOGLEFINANCE(""NSE:""&amp;A136,""LOW"")"),504.1)</f>
        <v>504.1</v>
      </c>
      <c r="F136" s="13">
        <f ca="1">IFERROR(__xludf.DUMMYFUNCTION("GOOGLEFINANCE(""NSE:""&amp;A136,""closeyest"")"),512.7)</f>
        <v>512.70000000000005</v>
      </c>
      <c r="G136" s="14">
        <f t="shared" ca="1" si="40"/>
        <v>-7.2691552062869261E-3</v>
      </c>
      <c r="H136" s="13">
        <f ca="1">IFERROR(__xludf.DUMMYFUNCTION("GOOGLEFINANCE(""NSE:""&amp;A136,""VOLUME"")"),1094458)</f>
        <v>1094458</v>
      </c>
      <c r="I136" s="13" t="str">
        <f ca="1">IFERROR(__xludf.DUMMYFUNCTION("AVERAGE(index(GOOGLEFINANCE(""NSE:""&amp;$A136, ""volume"", today()-21, today()-1), , 2))"),"#N/A")</f>
        <v>#N/A</v>
      </c>
      <c r="J136" s="14" t="e">
        <f t="shared" ca="1" si="41"/>
        <v>#VALUE!</v>
      </c>
      <c r="K136" s="13" t="str">
        <f ca="1">IFERROR(__xludf.DUMMYFUNCTION("AVERAGE(index(GOOGLEFINANCE(""NSE:""&amp;$A136, ""close"", today()-6, today()-1), , 2))"),"#N/A")</f>
        <v>#N/A</v>
      </c>
      <c r="L136" s="13" t="str">
        <f ca="1">IFERROR(__xludf.DUMMYFUNCTION("AVERAGE(index(GOOGLEFINANCE(""NSE:""&amp;$A136, ""close"", today()-14, today()-1), , 2))"),"#N/A")</f>
        <v>#N/A</v>
      </c>
      <c r="M136" s="13" t="str">
        <f ca="1">IFERROR(__xludf.DUMMYFUNCTION("AVERAGE(index(GOOGLEFINANCE(""NSE:""&amp;$A136, ""close"", today()-22, today()-1), , 2))"),"#N/A")</f>
        <v>#N/A</v>
      </c>
      <c r="N136" s="13" t="str">
        <f t="shared" ca="1" si="42"/>
        <v>No_Action</v>
      </c>
      <c r="O136" s="13" t="str">
        <f t="shared" ca="1" si="43"/>
        <v>No_Action</v>
      </c>
      <c r="P136" s="13" t="str">
        <f t="shared" ca="1" si="44"/>
        <v>No_Action</v>
      </c>
      <c r="Q136" s="13" t="str">
        <f t="shared" ca="1" si="45"/>
        <v>No_Action</v>
      </c>
      <c r="R136" s="15"/>
      <c r="S136" s="15" t="str">
        <f t="shared" ca="1" si="46"/>
        <v>NoNo</v>
      </c>
      <c r="T136" s="15"/>
      <c r="U136" s="15">
        <f t="shared" ca="1" si="47"/>
        <v>0</v>
      </c>
      <c r="V136" s="15">
        <f t="shared" ca="1" si="48"/>
        <v>0</v>
      </c>
      <c r="W136" s="15" t="str">
        <f t="shared" ca="1" si="49"/>
        <v>No_Action</v>
      </c>
      <c r="X136" s="15"/>
      <c r="Y136" s="15" t="str">
        <f t="shared" ca="1" si="50"/>
        <v>No_Action</v>
      </c>
      <c r="Z136" s="15">
        <f t="shared" ca="1" si="51"/>
        <v>0</v>
      </c>
      <c r="AA136" s="15">
        <f t="shared" ca="1" si="52"/>
        <v>0</v>
      </c>
      <c r="AB136" s="15"/>
      <c r="AC136" s="15" t="str">
        <f t="shared" ca="1" si="53"/>
        <v>NoNo</v>
      </c>
      <c r="AD136" s="15"/>
      <c r="AE136" s="15">
        <f t="shared" ca="1" si="54"/>
        <v>0</v>
      </c>
      <c r="AF136" s="16">
        <f t="shared" ca="1" si="55"/>
        <v>0</v>
      </c>
      <c r="AG136" s="16" t="str">
        <f t="shared" ca="1" si="56"/>
        <v>No_Action</v>
      </c>
      <c r="AH136" s="15"/>
      <c r="AI136" s="15" t="str">
        <f t="shared" ca="1" si="57"/>
        <v>No_Action</v>
      </c>
      <c r="AJ136" s="15">
        <f t="shared" ca="1" si="58"/>
        <v>0</v>
      </c>
      <c r="AK136" s="15">
        <f t="shared" ca="1" si="59"/>
        <v>0</v>
      </c>
    </row>
    <row r="137" spans="1:37" ht="14.5" customHeight="1" x14ac:dyDescent="0.35">
      <c r="A137" s="12" t="s">
        <v>153</v>
      </c>
      <c r="B137" s="13">
        <f ca="1">IFERROR(__xludf.DUMMYFUNCTION("GOOGLEFINANCE(""NSE:""&amp;A137,""PRICE"")"),1158.5)</f>
        <v>1158.5</v>
      </c>
      <c r="C137" s="13">
        <f ca="1">IFERROR(__xludf.DUMMYFUNCTION("GOOGLEFINANCE(""NSE:""&amp;A137,""PRICEOPEN"")"),1166)</f>
        <v>1166</v>
      </c>
      <c r="D137" s="13">
        <f ca="1">IFERROR(__xludf.DUMMYFUNCTION("GOOGLEFINANCE(""NSE:""&amp;A137,""HIGH"")"),1185)</f>
        <v>1185</v>
      </c>
      <c r="E137" s="13">
        <f ca="1">IFERROR(__xludf.DUMMYFUNCTION("GOOGLEFINANCE(""NSE:""&amp;A137,""LOW"")"),1150.15)</f>
        <v>1150.1500000000001</v>
      </c>
      <c r="F137" s="13">
        <f ca="1">IFERROR(__xludf.DUMMYFUNCTION("GOOGLEFINANCE(""NSE:""&amp;A137,""closeyest"")"),1157.35)</f>
        <v>1157.3499999999999</v>
      </c>
      <c r="G137" s="14">
        <f t="shared" ca="1" si="40"/>
        <v>-6.4738886491152352E-3</v>
      </c>
      <c r="H137" s="13">
        <f ca="1">IFERROR(__xludf.DUMMYFUNCTION("GOOGLEFINANCE(""NSE:""&amp;A137,""VOLUME"")"),107303)</f>
        <v>107303</v>
      </c>
      <c r="I137" s="13" t="str">
        <f ca="1">IFERROR(__xludf.DUMMYFUNCTION("AVERAGE(index(GOOGLEFINANCE(""NSE:""&amp;$A137, ""volume"", today()-21, today()-1), , 2))"),"#N/A")</f>
        <v>#N/A</v>
      </c>
      <c r="J137" s="14" t="e">
        <f t="shared" ca="1" si="41"/>
        <v>#VALUE!</v>
      </c>
      <c r="K137" s="13" t="str">
        <f ca="1">IFERROR(__xludf.DUMMYFUNCTION("AVERAGE(index(GOOGLEFINANCE(""NSE:""&amp;$A137, ""close"", today()-6, today()-1), , 2))"),"#N/A")</f>
        <v>#N/A</v>
      </c>
      <c r="L137" s="13" t="str">
        <f ca="1">IFERROR(__xludf.DUMMYFUNCTION("AVERAGE(index(GOOGLEFINANCE(""NSE:""&amp;$A137, ""close"", today()-14, today()-1), , 2))"),"#N/A")</f>
        <v>#N/A</v>
      </c>
      <c r="M137" s="13" t="str">
        <f ca="1">IFERROR(__xludf.DUMMYFUNCTION("AVERAGE(index(GOOGLEFINANCE(""NSE:""&amp;$A137, ""close"", today()-22, today()-1), , 2))"),"#N/A")</f>
        <v>#N/A</v>
      </c>
      <c r="N137" s="13" t="str">
        <f t="shared" ca="1" si="42"/>
        <v>No_Action</v>
      </c>
      <c r="O137" s="13" t="str">
        <f t="shared" ca="1" si="43"/>
        <v>No_Action</v>
      </c>
      <c r="P137" s="13" t="str">
        <f t="shared" ca="1" si="44"/>
        <v>No_Action</v>
      </c>
      <c r="Q137" s="13" t="str">
        <f t="shared" ca="1" si="45"/>
        <v>No_Action</v>
      </c>
      <c r="R137" s="15"/>
      <c r="S137" s="15" t="str">
        <f t="shared" ca="1" si="46"/>
        <v>NoNo</v>
      </c>
      <c r="T137" s="15"/>
      <c r="U137" s="15">
        <f t="shared" ca="1" si="47"/>
        <v>0</v>
      </c>
      <c r="V137" s="15">
        <f t="shared" ca="1" si="48"/>
        <v>0</v>
      </c>
      <c r="W137" s="15" t="str">
        <f t="shared" ca="1" si="49"/>
        <v>No_Action</v>
      </c>
      <c r="X137" s="15"/>
      <c r="Y137" s="15" t="str">
        <f t="shared" ca="1" si="50"/>
        <v>No_Action</v>
      </c>
      <c r="Z137" s="15">
        <f t="shared" ca="1" si="51"/>
        <v>0</v>
      </c>
      <c r="AA137" s="15">
        <f t="shared" ca="1" si="52"/>
        <v>0</v>
      </c>
      <c r="AB137" s="15"/>
      <c r="AC137" s="15" t="str">
        <f t="shared" ca="1" si="53"/>
        <v>NoNo</v>
      </c>
      <c r="AD137" s="15"/>
      <c r="AE137" s="15">
        <f t="shared" ca="1" si="54"/>
        <v>0</v>
      </c>
      <c r="AF137" s="16">
        <f t="shared" ca="1" si="55"/>
        <v>0</v>
      </c>
      <c r="AG137" s="16" t="str">
        <f t="shared" ca="1" si="56"/>
        <v>No_Action</v>
      </c>
      <c r="AH137" s="15"/>
      <c r="AI137" s="15" t="str">
        <f t="shared" ca="1" si="57"/>
        <v>No_Action</v>
      </c>
      <c r="AJ137" s="15">
        <f t="shared" ca="1" si="58"/>
        <v>0</v>
      </c>
      <c r="AK137" s="15">
        <f t="shared" ca="1" si="59"/>
        <v>0</v>
      </c>
    </row>
    <row r="138" spans="1:37" ht="14.5" customHeight="1" x14ac:dyDescent="0.35">
      <c r="A138" s="12" t="s">
        <v>154</v>
      </c>
      <c r="B138" s="13">
        <f ca="1">IFERROR(__xludf.DUMMYFUNCTION("GOOGLEFINANCE(""NSE:""&amp;A138,""PRICE"")"),247.66)</f>
        <v>247.66</v>
      </c>
      <c r="C138" s="13">
        <f ca="1">IFERROR(__xludf.DUMMYFUNCTION("GOOGLEFINANCE(""NSE:""&amp;A138,""PRICEOPEN"")"),248)</f>
        <v>248</v>
      </c>
      <c r="D138" s="13">
        <f ca="1">IFERROR(__xludf.DUMMYFUNCTION("GOOGLEFINANCE(""NSE:""&amp;A138,""HIGH"")"),251.37)</f>
        <v>251.37</v>
      </c>
      <c r="E138" s="13">
        <f ca="1">IFERROR(__xludf.DUMMYFUNCTION("GOOGLEFINANCE(""NSE:""&amp;A138,""LOW"")"),244.52)</f>
        <v>244.52</v>
      </c>
      <c r="F138" s="13">
        <f ca="1">IFERROR(__xludf.DUMMYFUNCTION("GOOGLEFINANCE(""NSE:""&amp;A138,""closeyest"")"),247.77)</f>
        <v>247.77</v>
      </c>
      <c r="G138" s="14">
        <f t="shared" ca="1" si="40"/>
        <v>-1.3728498748284076E-3</v>
      </c>
      <c r="H138" s="13">
        <f ca="1">IFERROR(__xludf.DUMMYFUNCTION("GOOGLEFINANCE(""NSE:""&amp;A138,""VOLUME"")"),4470542)</f>
        <v>4470542</v>
      </c>
      <c r="I138" s="13" t="str">
        <f ca="1">IFERROR(__xludf.DUMMYFUNCTION("AVERAGE(index(GOOGLEFINANCE(""NSE:""&amp;$A138, ""volume"", today()-21, today()-1), , 2))"),"#N/A")</f>
        <v>#N/A</v>
      </c>
      <c r="J138" s="14" t="e">
        <f t="shared" ca="1" si="41"/>
        <v>#VALUE!</v>
      </c>
      <c r="K138" s="13" t="str">
        <f ca="1">IFERROR(__xludf.DUMMYFUNCTION("AVERAGE(index(GOOGLEFINANCE(""NSE:""&amp;$A138, ""close"", today()-6, today()-1), , 2))"),"#N/A")</f>
        <v>#N/A</v>
      </c>
      <c r="L138" s="13" t="str">
        <f ca="1">IFERROR(__xludf.DUMMYFUNCTION("AVERAGE(index(GOOGLEFINANCE(""NSE:""&amp;$A138, ""close"", today()-14, today()-1), , 2))"),"#N/A")</f>
        <v>#N/A</v>
      </c>
      <c r="M138" s="13" t="str">
        <f ca="1">IFERROR(__xludf.DUMMYFUNCTION("AVERAGE(index(GOOGLEFINANCE(""NSE:""&amp;$A138, ""close"", today()-22, today()-1), , 2))"),"#N/A")</f>
        <v>#N/A</v>
      </c>
      <c r="N138" s="13" t="str">
        <f t="shared" ca="1" si="42"/>
        <v>No_Action</v>
      </c>
      <c r="O138" s="13" t="str">
        <f t="shared" ca="1" si="43"/>
        <v>No_Action</v>
      </c>
      <c r="P138" s="13" t="str">
        <f t="shared" ca="1" si="44"/>
        <v>No_Action</v>
      </c>
      <c r="Q138" s="13" t="str">
        <f t="shared" ca="1" si="45"/>
        <v>No_Action</v>
      </c>
      <c r="R138" s="15"/>
      <c r="S138" s="15" t="str">
        <f t="shared" ca="1" si="46"/>
        <v>NoNo</v>
      </c>
      <c r="T138" s="15"/>
      <c r="U138" s="15">
        <f t="shared" ca="1" si="47"/>
        <v>0</v>
      </c>
      <c r="V138" s="15">
        <f t="shared" ca="1" si="48"/>
        <v>0</v>
      </c>
      <c r="W138" s="15" t="str">
        <f t="shared" ca="1" si="49"/>
        <v>No_Action</v>
      </c>
      <c r="X138" s="15"/>
      <c r="Y138" s="15" t="str">
        <f t="shared" ca="1" si="50"/>
        <v>No_Action</v>
      </c>
      <c r="Z138" s="15">
        <f t="shared" ca="1" si="51"/>
        <v>0</v>
      </c>
      <c r="AA138" s="15">
        <f t="shared" ca="1" si="52"/>
        <v>0</v>
      </c>
      <c r="AB138" s="15"/>
      <c r="AC138" s="15" t="str">
        <f t="shared" ca="1" si="53"/>
        <v>NoNo</v>
      </c>
      <c r="AD138" s="15"/>
      <c r="AE138" s="15">
        <f t="shared" ca="1" si="54"/>
        <v>0</v>
      </c>
      <c r="AF138" s="16">
        <f t="shared" ca="1" si="55"/>
        <v>0</v>
      </c>
      <c r="AG138" s="16" t="str">
        <f t="shared" ca="1" si="56"/>
        <v>No_Action</v>
      </c>
      <c r="AH138" s="15"/>
      <c r="AI138" s="15" t="str">
        <f t="shared" ca="1" si="57"/>
        <v>No_Action</v>
      </c>
      <c r="AJ138" s="15">
        <f t="shared" ca="1" si="58"/>
        <v>0</v>
      </c>
      <c r="AK138" s="15">
        <f t="shared" ca="1" si="59"/>
        <v>0</v>
      </c>
    </row>
    <row r="139" spans="1:37" ht="14.5" customHeight="1" x14ac:dyDescent="0.35">
      <c r="A139" s="12" t="s">
        <v>155</v>
      </c>
      <c r="B139" s="13">
        <f ca="1">IFERROR(__xludf.DUMMYFUNCTION("GOOGLEFINANCE(""NSE:""&amp;A139,""PRICE"")"),1461)</f>
        <v>1461</v>
      </c>
      <c r="C139" s="13">
        <f ca="1">IFERROR(__xludf.DUMMYFUNCTION("GOOGLEFINANCE(""NSE:""&amp;A139,""PRICEOPEN"")"),1451.75)</f>
        <v>1451.75</v>
      </c>
      <c r="D139" s="13">
        <f ca="1">IFERROR(__xludf.DUMMYFUNCTION("GOOGLEFINANCE(""NSE:""&amp;A139,""HIGH"")"),1493.8)</f>
        <v>1493.8</v>
      </c>
      <c r="E139" s="13">
        <f ca="1">IFERROR(__xludf.DUMMYFUNCTION("GOOGLEFINANCE(""NSE:""&amp;A139,""LOW"")"),1451.7)</f>
        <v>1451.7</v>
      </c>
      <c r="F139" s="13">
        <f ca="1">IFERROR(__xludf.DUMMYFUNCTION("GOOGLEFINANCE(""NSE:""&amp;A139,""closeyest"")"),1451.7)</f>
        <v>1451.7</v>
      </c>
      <c r="G139" s="14">
        <f t="shared" ca="1" si="40"/>
        <v>6.3312799452429841E-3</v>
      </c>
      <c r="H139" s="13">
        <f ca="1">IFERROR(__xludf.DUMMYFUNCTION("GOOGLEFINANCE(""NSE:""&amp;A139,""VOLUME"")"),72519)</f>
        <v>72519</v>
      </c>
      <c r="I139" s="13" t="str">
        <f ca="1">IFERROR(__xludf.DUMMYFUNCTION("AVERAGE(index(GOOGLEFINANCE(""NSE:""&amp;$A139, ""volume"", today()-21, today()-1), , 2))"),"#N/A")</f>
        <v>#N/A</v>
      </c>
      <c r="J139" s="14" t="e">
        <f t="shared" ca="1" si="41"/>
        <v>#VALUE!</v>
      </c>
      <c r="K139" s="13" t="str">
        <f ca="1">IFERROR(__xludf.DUMMYFUNCTION("AVERAGE(index(GOOGLEFINANCE(""NSE:""&amp;$A139, ""close"", today()-6, today()-1), , 2))"),"#N/A")</f>
        <v>#N/A</v>
      </c>
      <c r="L139" s="13" t="str">
        <f ca="1">IFERROR(__xludf.DUMMYFUNCTION("AVERAGE(index(GOOGLEFINANCE(""NSE:""&amp;$A139, ""close"", today()-14, today()-1), , 2))"),"#N/A")</f>
        <v>#N/A</v>
      </c>
      <c r="M139" s="13" t="str">
        <f ca="1">IFERROR(__xludf.DUMMYFUNCTION("AVERAGE(index(GOOGLEFINANCE(""NSE:""&amp;$A139, ""close"", today()-22, today()-1), , 2))"),"#N/A")</f>
        <v>#N/A</v>
      </c>
      <c r="N139" s="13" t="str">
        <f t="shared" ca="1" si="42"/>
        <v>No_Action</v>
      </c>
      <c r="O139" s="13" t="str">
        <f t="shared" ca="1" si="43"/>
        <v>No_Action</v>
      </c>
      <c r="P139" s="13" t="str">
        <f t="shared" ca="1" si="44"/>
        <v>No_Action</v>
      </c>
      <c r="Q139" s="13" t="str">
        <f t="shared" ca="1" si="45"/>
        <v>No_Action</v>
      </c>
      <c r="R139" s="15"/>
      <c r="S139" s="15" t="str">
        <f t="shared" ca="1" si="46"/>
        <v>NoNo</v>
      </c>
      <c r="T139" s="15"/>
      <c r="U139" s="15">
        <f t="shared" ca="1" si="47"/>
        <v>0</v>
      </c>
      <c r="V139" s="15">
        <f t="shared" ca="1" si="48"/>
        <v>0</v>
      </c>
      <c r="W139" s="15" t="str">
        <f t="shared" ca="1" si="49"/>
        <v>No_Action</v>
      </c>
      <c r="X139" s="15"/>
      <c r="Y139" s="15" t="str">
        <f t="shared" ca="1" si="50"/>
        <v>No_Action</v>
      </c>
      <c r="Z139" s="15">
        <f t="shared" ca="1" si="51"/>
        <v>0</v>
      </c>
      <c r="AA139" s="15">
        <f t="shared" ca="1" si="52"/>
        <v>0</v>
      </c>
      <c r="AB139" s="15"/>
      <c r="AC139" s="15" t="str">
        <f t="shared" ca="1" si="53"/>
        <v>NoNo</v>
      </c>
      <c r="AD139" s="15"/>
      <c r="AE139" s="15">
        <f t="shared" ca="1" si="54"/>
        <v>0</v>
      </c>
      <c r="AF139" s="16">
        <f t="shared" ca="1" si="55"/>
        <v>0</v>
      </c>
      <c r="AG139" s="16" t="str">
        <f t="shared" ca="1" si="56"/>
        <v>No_Action</v>
      </c>
      <c r="AH139" s="15"/>
      <c r="AI139" s="15" t="str">
        <f t="shared" ca="1" si="57"/>
        <v>No_Action</v>
      </c>
      <c r="AJ139" s="15">
        <f t="shared" ca="1" si="58"/>
        <v>0</v>
      </c>
      <c r="AK139" s="15">
        <f t="shared" ca="1" si="59"/>
        <v>0</v>
      </c>
    </row>
    <row r="140" spans="1:37" ht="14.5" customHeight="1" x14ac:dyDescent="0.35">
      <c r="A140" s="12" t="s">
        <v>156</v>
      </c>
      <c r="B140" s="13">
        <f ca="1">IFERROR(__xludf.DUMMYFUNCTION("GOOGLEFINANCE(""NSE:""&amp;A140,""PRICE"")"),4459.75)</f>
        <v>4459.75</v>
      </c>
      <c r="C140" s="13">
        <f ca="1">IFERROR(__xludf.DUMMYFUNCTION("GOOGLEFINANCE(""NSE:""&amp;A140,""PRICEOPEN"")"),4356.05)</f>
        <v>4356.05</v>
      </c>
      <c r="D140" s="13">
        <f ca="1">IFERROR(__xludf.DUMMYFUNCTION("GOOGLEFINANCE(""NSE:""&amp;A140,""HIGH"")"),4510.75)</f>
        <v>4510.75</v>
      </c>
      <c r="E140" s="13">
        <f ca="1">IFERROR(__xludf.DUMMYFUNCTION("GOOGLEFINANCE(""NSE:""&amp;A140,""LOW"")"),4332.1)</f>
        <v>4332.1000000000004</v>
      </c>
      <c r="F140" s="13">
        <f ca="1">IFERROR(__xludf.DUMMYFUNCTION("GOOGLEFINANCE(""NSE:""&amp;A140,""closeyest"")"),4363.9)</f>
        <v>4363.8999999999996</v>
      </c>
      <c r="G140" s="14">
        <f t="shared" ca="1" si="40"/>
        <v>2.3252424463254626E-2</v>
      </c>
      <c r="H140" s="13">
        <f ca="1">IFERROR(__xludf.DUMMYFUNCTION("GOOGLEFINANCE(""NSE:""&amp;A140,""VOLUME"")"),596726)</f>
        <v>596726</v>
      </c>
      <c r="I140" s="13" t="str">
        <f ca="1">IFERROR(__xludf.DUMMYFUNCTION("AVERAGE(index(GOOGLEFINANCE(""NSE:""&amp;$A140, ""volume"", today()-21, today()-1), , 2))"),"#N/A")</f>
        <v>#N/A</v>
      </c>
      <c r="J140" s="14" t="e">
        <f t="shared" ca="1" si="41"/>
        <v>#VALUE!</v>
      </c>
      <c r="K140" s="13" t="str">
        <f ca="1">IFERROR(__xludf.DUMMYFUNCTION("AVERAGE(index(GOOGLEFINANCE(""NSE:""&amp;$A140, ""close"", today()-6, today()-1), , 2))"),"#N/A")</f>
        <v>#N/A</v>
      </c>
      <c r="L140" s="13" t="str">
        <f ca="1">IFERROR(__xludf.DUMMYFUNCTION("AVERAGE(index(GOOGLEFINANCE(""NSE:""&amp;$A140, ""close"", today()-14, today()-1), , 2))"),"#N/A")</f>
        <v>#N/A</v>
      </c>
      <c r="M140" s="13" t="str">
        <f ca="1">IFERROR(__xludf.DUMMYFUNCTION("AVERAGE(index(GOOGLEFINANCE(""NSE:""&amp;$A140, ""close"", today()-22, today()-1), , 2))"),"#N/A")</f>
        <v>#N/A</v>
      </c>
      <c r="N140" s="13" t="str">
        <f t="shared" ca="1" si="42"/>
        <v>No_Action</v>
      </c>
      <c r="O140" s="13" t="str">
        <f t="shared" ca="1" si="43"/>
        <v>No_Action</v>
      </c>
      <c r="P140" s="13" t="str">
        <f t="shared" ca="1" si="44"/>
        <v>No_Action</v>
      </c>
      <c r="Q140" s="13" t="str">
        <f t="shared" ca="1" si="45"/>
        <v>No_Action</v>
      </c>
      <c r="R140" s="15"/>
      <c r="S140" s="15" t="str">
        <f t="shared" ca="1" si="46"/>
        <v>NoNo</v>
      </c>
      <c r="T140" s="15"/>
      <c r="U140" s="15">
        <f t="shared" ca="1" si="47"/>
        <v>0</v>
      </c>
      <c r="V140" s="15">
        <f t="shared" ca="1" si="48"/>
        <v>0</v>
      </c>
      <c r="W140" s="15" t="str">
        <f t="shared" ca="1" si="49"/>
        <v>No_Action</v>
      </c>
      <c r="X140" s="15"/>
      <c r="Y140" s="15" t="str">
        <f t="shared" ca="1" si="50"/>
        <v>No_Action</v>
      </c>
      <c r="Z140" s="15">
        <f t="shared" ca="1" si="51"/>
        <v>0</v>
      </c>
      <c r="AA140" s="15">
        <f t="shared" ca="1" si="52"/>
        <v>0</v>
      </c>
      <c r="AB140" s="15"/>
      <c r="AC140" s="15" t="str">
        <f t="shared" ca="1" si="53"/>
        <v>NoNo</v>
      </c>
      <c r="AD140" s="15"/>
      <c r="AE140" s="15">
        <f t="shared" ca="1" si="54"/>
        <v>0</v>
      </c>
      <c r="AF140" s="16">
        <f t="shared" ca="1" si="55"/>
        <v>0</v>
      </c>
      <c r="AG140" s="16" t="str">
        <f t="shared" ca="1" si="56"/>
        <v>No_Action</v>
      </c>
      <c r="AH140" s="15"/>
      <c r="AI140" s="15" t="str">
        <f t="shared" ca="1" si="57"/>
        <v>No_Action</v>
      </c>
      <c r="AJ140" s="15">
        <f t="shared" ca="1" si="58"/>
        <v>0</v>
      </c>
      <c r="AK140" s="15">
        <f t="shared" ca="1" si="59"/>
        <v>0</v>
      </c>
    </row>
    <row r="141" spans="1:37" ht="14.5" customHeight="1" x14ac:dyDescent="0.35">
      <c r="A141" s="12" t="s">
        <v>157</v>
      </c>
      <c r="B141" s="13">
        <f ca="1">IFERROR(__xludf.DUMMYFUNCTION("GOOGLEFINANCE(""NSE:""&amp;A141,""PRICE"")"),1867.55)</f>
        <v>1867.55</v>
      </c>
      <c r="C141" s="13">
        <f ca="1">IFERROR(__xludf.DUMMYFUNCTION("GOOGLEFINANCE(""NSE:""&amp;A141,""PRICEOPEN"")"),1853.65)</f>
        <v>1853.65</v>
      </c>
      <c r="D141" s="13">
        <f ca="1">IFERROR(__xludf.DUMMYFUNCTION("GOOGLEFINANCE(""NSE:""&amp;A141,""HIGH"")"),1880)</f>
        <v>1880</v>
      </c>
      <c r="E141" s="13">
        <f ca="1">IFERROR(__xludf.DUMMYFUNCTION("GOOGLEFINANCE(""NSE:""&amp;A141,""LOW"")"),1849)</f>
        <v>1849</v>
      </c>
      <c r="F141" s="13">
        <f ca="1">IFERROR(__xludf.DUMMYFUNCTION("GOOGLEFINANCE(""NSE:""&amp;A141,""closeyest"")"),1855.85)</f>
        <v>1855.85</v>
      </c>
      <c r="G141" s="14">
        <f t="shared" ca="1" si="40"/>
        <v>7.4429064817540967E-3</v>
      </c>
      <c r="H141" s="13">
        <f ca="1">IFERROR(__xludf.DUMMYFUNCTION("GOOGLEFINANCE(""NSE:""&amp;A141,""VOLUME"")"),13473956)</f>
        <v>13473956</v>
      </c>
      <c r="I141" s="13" t="str">
        <f ca="1">IFERROR(__xludf.DUMMYFUNCTION("AVERAGE(index(GOOGLEFINANCE(""NSE:""&amp;$A141, ""volume"", today()-21, today()-1), , 2))"),"#N/A")</f>
        <v>#N/A</v>
      </c>
      <c r="J141" s="14" t="e">
        <f t="shared" ca="1" si="41"/>
        <v>#VALUE!</v>
      </c>
      <c r="K141" s="13" t="str">
        <f ca="1">IFERROR(__xludf.DUMMYFUNCTION("AVERAGE(index(GOOGLEFINANCE(""NSE:""&amp;$A141, ""close"", today()-6, today()-1), , 2))"),"#N/A")</f>
        <v>#N/A</v>
      </c>
      <c r="L141" s="13" t="str">
        <f ca="1">IFERROR(__xludf.DUMMYFUNCTION("AVERAGE(index(GOOGLEFINANCE(""NSE:""&amp;$A141, ""close"", today()-14, today()-1), , 2))"),"#N/A")</f>
        <v>#N/A</v>
      </c>
      <c r="M141" s="13" t="str">
        <f ca="1">IFERROR(__xludf.DUMMYFUNCTION("AVERAGE(index(GOOGLEFINANCE(""NSE:""&amp;$A141, ""close"", today()-22, today()-1), , 2))"),"#N/A")</f>
        <v>#N/A</v>
      </c>
      <c r="N141" s="13" t="str">
        <f t="shared" ca="1" si="42"/>
        <v>No_Action</v>
      </c>
      <c r="O141" s="13" t="str">
        <f t="shared" ca="1" si="43"/>
        <v>No_Action</v>
      </c>
      <c r="P141" s="13" t="str">
        <f t="shared" ca="1" si="44"/>
        <v>No_Action</v>
      </c>
      <c r="Q141" s="13" t="str">
        <f t="shared" ca="1" si="45"/>
        <v>No_Action</v>
      </c>
      <c r="R141" s="15"/>
      <c r="S141" s="15" t="str">
        <f t="shared" ca="1" si="46"/>
        <v>NoNo</v>
      </c>
      <c r="T141" s="15"/>
      <c r="U141" s="15">
        <f t="shared" ca="1" si="47"/>
        <v>0</v>
      </c>
      <c r="V141" s="15">
        <f t="shared" ca="1" si="48"/>
        <v>0</v>
      </c>
      <c r="W141" s="15" t="str">
        <f t="shared" ca="1" si="49"/>
        <v>No_Action</v>
      </c>
      <c r="X141" s="15"/>
      <c r="Y141" s="15" t="str">
        <f t="shared" ca="1" si="50"/>
        <v>No_Action</v>
      </c>
      <c r="Z141" s="15">
        <f t="shared" ca="1" si="51"/>
        <v>0</v>
      </c>
      <c r="AA141" s="15">
        <f t="shared" ca="1" si="52"/>
        <v>0</v>
      </c>
      <c r="AB141" s="15"/>
      <c r="AC141" s="15" t="str">
        <f t="shared" ca="1" si="53"/>
        <v>NoNo</v>
      </c>
      <c r="AD141" s="15"/>
      <c r="AE141" s="15">
        <f t="shared" ca="1" si="54"/>
        <v>0</v>
      </c>
      <c r="AF141" s="16">
        <f t="shared" ca="1" si="55"/>
        <v>0</v>
      </c>
      <c r="AG141" s="16" t="str">
        <f t="shared" ca="1" si="56"/>
        <v>No_Action</v>
      </c>
      <c r="AH141" s="15"/>
      <c r="AI141" s="15" t="str">
        <f t="shared" ca="1" si="57"/>
        <v>No_Action</v>
      </c>
      <c r="AJ141" s="15">
        <f t="shared" ca="1" si="58"/>
        <v>0</v>
      </c>
      <c r="AK141" s="15">
        <f t="shared" ca="1" si="59"/>
        <v>0</v>
      </c>
    </row>
    <row r="142" spans="1:37" ht="14.5" customHeight="1" x14ac:dyDescent="0.35">
      <c r="A142" s="12" t="s">
        <v>158</v>
      </c>
      <c r="B142" s="13">
        <f ca="1">IFERROR(__xludf.DUMMYFUNCTION("GOOGLEFINANCE(""NSE:""&amp;A142,""PRICE"")"),4598)</f>
        <v>4598</v>
      </c>
      <c r="C142" s="13">
        <f ca="1">IFERROR(__xludf.DUMMYFUNCTION("GOOGLEFINANCE(""NSE:""&amp;A142,""PRICEOPEN"")"),4638.95)</f>
        <v>4638.95</v>
      </c>
      <c r="D142" s="13">
        <f ca="1">IFERROR(__xludf.DUMMYFUNCTION("GOOGLEFINANCE(""NSE:""&amp;A142,""HIGH"")"),4659.6)</f>
        <v>4659.6000000000004</v>
      </c>
      <c r="E142" s="13">
        <f ca="1">IFERROR(__xludf.DUMMYFUNCTION("GOOGLEFINANCE(""NSE:""&amp;A142,""LOW"")"),4590)</f>
        <v>4590</v>
      </c>
      <c r="F142" s="13">
        <f ca="1">IFERROR(__xludf.DUMMYFUNCTION("GOOGLEFINANCE(""NSE:""&amp;A142,""closeyest"")"),4629.6)</f>
        <v>4629.6000000000004</v>
      </c>
      <c r="G142" s="14">
        <f t="shared" ca="1" si="40"/>
        <v>-8.9060461070030045E-3</v>
      </c>
      <c r="H142" s="13">
        <f ca="1">IFERROR(__xludf.DUMMYFUNCTION("GOOGLEFINANCE(""NSE:""&amp;A142,""VOLUME"")"),329145)</f>
        <v>329145</v>
      </c>
      <c r="I142" s="13" t="str">
        <f ca="1">IFERROR(__xludf.DUMMYFUNCTION("AVERAGE(index(GOOGLEFINANCE(""NSE:""&amp;$A142, ""volume"", today()-21, today()-1), , 2))"),"#N/A")</f>
        <v>#N/A</v>
      </c>
      <c r="J142" s="14" t="e">
        <f t="shared" ca="1" si="41"/>
        <v>#VALUE!</v>
      </c>
      <c r="K142" s="13" t="str">
        <f ca="1">IFERROR(__xludf.DUMMYFUNCTION("AVERAGE(index(GOOGLEFINANCE(""NSE:""&amp;$A142, ""close"", today()-6, today()-1), , 2))"),"#N/A")</f>
        <v>#N/A</v>
      </c>
      <c r="L142" s="13" t="str">
        <f ca="1">IFERROR(__xludf.DUMMYFUNCTION("AVERAGE(index(GOOGLEFINANCE(""NSE:""&amp;$A142, ""close"", today()-14, today()-1), , 2))"),"#N/A")</f>
        <v>#N/A</v>
      </c>
      <c r="M142" s="13" t="str">
        <f ca="1">IFERROR(__xludf.DUMMYFUNCTION("AVERAGE(index(GOOGLEFINANCE(""NSE:""&amp;$A142, ""close"", today()-22, today()-1), , 2))"),"#N/A")</f>
        <v>#N/A</v>
      </c>
      <c r="N142" s="13" t="str">
        <f t="shared" ca="1" si="42"/>
        <v>No_Action</v>
      </c>
      <c r="O142" s="13" t="str">
        <f t="shared" ca="1" si="43"/>
        <v>No_Action</v>
      </c>
      <c r="P142" s="13" t="str">
        <f t="shared" ca="1" si="44"/>
        <v>No_Action</v>
      </c>
      <c r="Q142" s="13" t="str">
        <f t="shared" ca="1" si="45"/>
        <v>No_Action</v>
      </c>
      <c r="R142" s="15"/>
      <c r="S142" s="15" t="str">
        <f t="shared" ca="1" si="46"/>
        <v>NoNo</v>
      </c>
      <c r="T142" s="15"/>
      <c r="U142" s="15">
        <f t="shared" ca="1" si="47"/>
        <v>0</v>
      </c>
      <c r="V142" s="15">
        <f t="shared" ca="1" si="48"/>
        <v>0</v>
      </c>
      <c r="W142" s="15" t="str">
        <f t="shared" ca="1" si="49"/>
        <v>No_Action</v>
      </c>
      <c r="X142" s="15"/>
      <c r="Y142" s="15" t="str">
        <f t="shared" ca="1" si="50"/>
        <v>No_Action</v>
      </c>
      <c r="Z142" s="15">
        <f t="shared" ca="1" si="51"/>
        <v>0</v>
      </c>
      <c r="AA142" s="15">
        <f t="shared" ca="1" si="52"/>
        <v>0</v>
      </c>
      <c r="AB142" s="15"/>
      <c r="AC142" s="15" t="str">
        <f t="shared" ca="1" si="53"/>
        <v>NoNo</v>
      </c>
      <c r="AD142" s="15"/>
      <c r="AE142" s="15">
        <f t="shared" ca="1" si="54"/>
        <v>0</v>
      </c>
      <c r="AF142" s="16">
        <f t="shared" ca="1" si="55"/>
        <v>0</v>
      </c>
      <c r="AG142" s="16" t="str">
        <f t="shared" ca="1" si="56"/>
        <v>No_Action</v>
      </c>
      <c r="AH142" s="15"/>
      <c r="AI142" s="15" t="str">
        <f t="shared" ca="1" si="57"/>
        <v>No_Action</v>
      </c>
      <c r="AJ142" s="15">
        <f t="shared" ca="1" si="58"/>
        <v>0</v>
      </c>
      <c r="AK142" s="15">
        <f t="shared" ca="1" si="59"/>
        <v>0</v>
      </c>
    </row>
    <row r="143" spans="1:37" ht="14.5" customHeight="1" x14ac:dyDescent="0.35">
      <c r="A143" s="12" t="s">
        <v>159</v>
      </c>
      <c r="B143" s="13">
        <f ca="1">IFERROR(__xludf.DUMMYFUNCTION("GOOGLEFINANCE(""NSE:""&amp;A143,""PRICE"")"),2402)</f>
        <v>2402</v>
      </c>
      <c r="C143" s="13">
        <f ca="1">IFERROR(__xludf.DUMMYFUNCTION("GOOGLEFINANCE(""NSE:""&amp;A143,""PRICEOPEN"")"),2465)</f>
        <v>2465</v>
      </c>
      <c r="D143" s="13">
        <f ca="1">IFERROR(__xludf.DUMMYFUNCTION("GOOGLEFINANCE(""NSE:""&amp;A143,""HIGH"")"),2476.95)</f>
        <v>2476.9499999999998</v>
      </c>
      <c r="E143" s="13">
        <f ca="1">IFERROR(__xludf.DUMMYFUNCTION("GOOGLEFINANCE(""NSE:""&amp;A143,""LOW"")"),2383.3)</f>
        <v>2383.3000000000002</v>
      </c>
      <c r="F143" s="13">
        <f ca="1">IFERROR(__xludf.DUMMYFUNCTION("GOOGLEFINANCE(""NSE:""&amp;A143,""closeyest"")"),2483.8)</f>
        <v>2483.8000000000002</v>
      </c>
      <c r="G143" s="14">
        <f t="shared" ca="1" si="40"/>
        <v>-2.6228143213988343E-2</v>
      </c>
      <c r="H143" s="13">
        <f ca="1">IFERROR(__xludf.DUMMYFUNCTION("GOOGLEFINANCE(""NSE:""&amp;A143,""VOLUME"")"),3385021)</f>
        <v>3385021</v>
      </c>
      <c r="I143" s="13" t="str">
        <f ca="1">IFERROR(__xludf.DUMMYFUNCTION("AVERAGE(index(GOOGLEFINANCE(""NSE:""&amp;$A143, ""volume"", today()-21, today()-1), , 2))"),"#N/A")</f>
        <v>#N/A</v>
      </c>
      <c r="J143" s="14" t="e">
        <f t="shared" ca="1" si="41"/>
        <v>#VALUE!</v>
      </c>
      <c r="K143" s="13" t="str">
        <f ca="1">IFERROR(__xludf.DUMMYFUNCTION("AVERAGE(index(GOOGLEFINANCE(""NSE:""&amp;$A143, ""close"", today()-6, today()-1), , 2))"),"#N/A")</f>
        <v>#N/A</v>
      </c>
      <c r="L143" s="13" t="str">
        <f ca="1">IFERROR(__xludf.DUMMYFUNCTION("AVERAGE(index(GOOGLEFINANCE(""NSE:""&amp;$A143, ""close"", today()-14, today()-1), , 2))"),"#N/A")</f>
        <v>#N/A</v>
      </c>
      <c r="M143" s="13" t="str">
        <f ca="1">IFERROR(__xludf.DUMMYFUNCTION("AVERAGE(index(GOOGLEFINANCE(""NSE:""&amp;$A143, ""close"", today()-22, today()-1), , 2))"),"#N/A")</f>
        <v>#N/A</v>
      </c>
      <c r="N143" s="13" t="str">
        <f t="shared" ca="1" si="42"/>
        <v>No_Action</v>
      </c>
      <c r="O143" s="13" t="str">
        <f t="shared" ca="1" si="43"/>
        <v>No_Action</v>
      </c>
      <c r="P143" s="13" t="str">
        <f t="shared" ca="1" si="44"/>
        <v>No_Action</v>
      </c>
      <c r="Q143" s="13" t="str">
        <f t="shared" ca="1" si="45"/>
        <v>No_Action</v>
      </c>
      <c r="R143" s="15"/>
      <c r="S143" s="15" t="str">
        <f t="shared" ca="1" si="46"/>
        <v>NoNo</v>
      </c>
      <c r="T143" s="15"/>
      <c r="U143" s="15">
        <f t="shared" ca="1" si="47"/>
        <v>0</v>
      </c>
      <c r="V143" s="15">
        <f t="shared" ca="1" si="48"/>
        <v>0</v>
      </c>
      <c r="W143" s="15" t="str">
        <f t="shared" ca="1" si="49"/>
        <v>No_Action</v>
      </c>
      <c r="X143" s="15"/>
      <c r="Y143" s="15" t="str">
        <f t="shared" ca="1" si="50"/>
        <v>No_Action</v>
      </c>
      <c r="Z143" s="15">
        <f t="shared" ca="1" si="51"/>
        <v>0</v>
      </c>
      <c r="AA143" s="15">
        <f t="shared" ca="1" si="52"/>
        <v>0</v>
      </c>
      <c r="AB143" s="15"/>
      <c r="AC143" s="15" t="str">
        <f t="shared" ca="1" si="53"/>
        <v>NoNo</v>
      </c>
      <c r="AD143" s="15"/>
      <c r="AE143" s="15">
        <f t="shared" ca="1" si="54"/>
        <v>0</v>
      </c>
      <c r="AF143" s="16">
        <f t="shared" ca="1" si="55"/>
        <v>0</v>
      </c>
      <c r="AG143" s="16" t="str">
        <f t="shared" ca="1" si="56"/>
        <v>No_Action</v>
      </c>
      <c r="AH143" s="15"/>
      <c r="AI143" s="15" t="str">
        <f t="shared" ca="1" si="57"/>
        <v>No_Action</v>
      </c>
      <c r="AJ143" s="15">
        <f t="shared" ca="1" si="58"/>
        <v>0</v>
      </c>
      <c r="AK143" s="15">
        <f t="shared" ca="1" si="59"/>
        <v>0</v>
      </c>
    </row>
    <row r="144" spans="1:37" ht="14.5" customHeight="1" x14ac:dyDescent="0.35">
      <c r="A144" s="12" t="s">
        <v>160</v>
      </c>
      <c r="B144" s="13">
        <f ca="1">IFERROR(__xludf.DUMMYFUNCTION("GOOGLEFINANCE(""NSE:""&amp;A144,""PRICE"")"),4620)</f>
        <v>4620</v>
      </c>
      <c r="C144" s="13">
        <f ca="1">IFERROR(__xludf.DUMMYFUNCTION("GOOGLEFINANCE(""NSE:""&amp;A144,""PRICEOPEN"")"),4561)</f>
        <v>4561</v>
      </c>
      <c r="D144" s="13">
        <f ca="1">IFERROR(__xludf.DUMMYFUNCTION("GOOGLEFINANCE(""NSE:""&amp;A144,""HIGH"")"),4646.95)</f>
        <v>4646.95</v>
      </c>
      <c r="E144" s="13">
        <f ca="1">IFERROR(__xludf.DUMMYFUNCTION("GOOGLEFINANCE(""NSE:""&amp;A144,""LOW"")"),4551)</f>
        <v>4551</v>
      </c>
      <c r="F144" s="13">
        <f ca="1">IFERROR(__xludf.DUMMYFUNCTION("GOOGLEFINANCE(""NSE:""&amp;A144,""closeyest"")"),4559.65)</f>
        <v>4559.6499999999996</v>
      </c>
      <c r="G144" s="14">
        <f t="shared" ca="1" si="40"/>
        <v>1.2770562770562771E-2</v>
      </c>
      <c r="H144" s="13">
        <f ca="1">IFERROR(__xludf.DUMMYFUNCTION("GOOGLEFINANCE(""NSE:""&amp;A144,""VOLUME"")"),1524379)</f>
        <v>1524379</v>
      </c>
      <c r="I144" s="13" t="str">
        <f ca="1">IFERROR(__xludf.DUMMYFUNCTION("AVERAGE(index(GOOGLEFINANCE(""NSE:""&amp;$A144, ""volume"", today()-21, today()-1), , 2))"),"#N/A")</f>
        <v>#N/A</v>
      </c>
      <c r="J144" s="14" t="e">
        <f t="shared" ca="1" si="41"/>
        <v>#VALUE!</v>
      </c>
      <c r="K144" s="13" t="str">
        <f ca="1">IFERROR(__xludf.DUMMYFUNCTION("AVERAGE(index(GOOGLEFINANCE(""NSE:""&amp;$A144, ""close"", today()-6, today()-1), , 2))"),"#N/A")</f>
        <v>#N/A</v>
      </c>
      <c r="L144" s="13" t="str">
        <f ca="1">IFERROR(__xludf.DUMMYFUNCTION("AVERAGE(index(GOOGLEFINANCE(""NSE:""&amp;$A144, ""close"", today()-14, today()-1), , 2))"),"#N/A")</f>
        <v>#N/A</v>
      </c>
      <c r="M144" s="13" t="str">
        <f ca="1">IFERROR(__xludf.DUMMYFUNCTION("AVERAGE(index(GOOGLEFINANCE(""NSE:""&amp;$A144, ""close"", today()-22, today()-1), , 2))"),"#N/A")</f>
        <v>#N/A</v>
      </c>
      <c r="N144" s="13" t="str">
        <f t="shared" ca="1" si="42"/>
        <v>No_Action</v>
      </c>
      <c r="O144" s="13" t="str">
        <f t="shared" ca="1" si="43"/>
        <v>No_Action</v>
      </c>
      <c r="P144" s="13" t="str">
        <f t="shared" ca="1" si="44"/>
        <v>No_Action</v>
      </c>
      <c r="Q144" s="13" t="str">
        <f t="shared" ca="1" si="45"/>
        <v>No_Action</v>
      </c>
      <c r="R144" s="15"/>
      <c r="S144" s="15" t="str">
        <f t="shared" ca="1" si="46"/>
        <v>NoNo</v>
      </c>
      <c r="T144" s="15"/>
      <c r="U144" s="15">
        <f t="shared" ca="1" si="47"/>
        <v>0</v>
      </c>
      <c r="V144" s="15">
        <f t="shared" ca="1" si="48"/>
        <v>0</v>
      </c>
      <c r="W144" s="15" t="str">
        <f t="shared" ca="1" si="49"/>
        <v>No_Action</v>
      </c>
      <c r="X144" s="15"/>
      <c r="Y144" s="15" t="str">
        <f t="shared" ca="1" si="50"/>
        <v>No_Action</v>
      </c>
      <c r="Z144" s="15">
        <f t="shared" ca="1" si="51"/>
        <v>0</v>
      </c>
      <c r="AA144" s="15">
        <f t="shared" ca="1" si="52"/>
        <v>0</v>
      </c>
      <c r="AB144" s="15"/>
      <c r="AC144" s="15" t="str">
        <f t="shared" ca="1" si="53"/>
        <v>NoNo</v>
      </c>
      <c r="AD144" s="15"/>
      <c r="AE144" s="15">
        <f t="shared" ca="1" si="54"/>
        <v>0</v>
      </c>
      <c r="AF144" s="16">
        <f t="shared" ca="1" si="55"/>
        <v>0</v>
      </c>
      <c r="AG144" s="16" t="str">
        <f t="shared" ca="1" si="56"/>
        <v>No_Action</v>
      </c>
      <c r="AH144" s="15"/>
      <c r="AI144" s="15" t="str">
        <f t="shared" ca="1" si="57"/>
        <v>No_Action</v>
      </c>
      <c r="AJ144" s="15">
        <f t="shared" ca="1" si="58"/>
        <v>0</v>
      </c>
      <c r="AK144" s="15">
        <f t="shared" ca="1" si="59"/>
        <v>0</v>
      </c>
    </row>
    <row r="145" spans="1:37" ht="14.5" customHeight="1" x14ac:dyDescent="0.35">
      <c r="A145" s="12" t="s">
        <v>161</v>
      </c>
      <c r="B145" s="13">
        <f ca="1">IFERROR(__xludf.DUMMYFUNCTION("GOOGLEFINANCE(""NSE:""&amp;A145,""PRICE"")"),195.98)</f>
        <v>195.98</v>
      </c>
      <c r="C145" s="13">
        <f ca="1">IFERROR(__xludf.DUMMYFUNCTION("GOOGLEFINANCE(""NSE:""&amp;A145,""PRICEOPEN"")"),196.89)</f>
        <v>196.89</v>
      </c>
      <c r="D145" s="13">
        <f ca="1">IFERROR(__xludf.DUMMYFUNCTION("GOOGLEFINANCE(""NSE:""&amp;A145,""HIGH"")"),198.78)</f>
        <v>198.78</v>
      </c>
      <c r="E145" s="13">
        <f ca="1">IFERROR(__xludf.DUMMYFUNCTION("GOOGLEFINANCE(""NSE:""&amp;A145,""LOW"")"),195.4)</f>
        <v>195.4</v>
      </c>
      <c r="F145" s="13">
        <f ca="1">IFERROR(__xludf.DUMMYFUNCTION("GOOGLEFINANCE(""NSE:""&amp;A145,""closeyest"")"),196.32)</f>
        <v>196.32</v>
      </c>
      <c r="G145" s="14">
        <f t="shared" ca="1" si="40"/>
        <v>-4.6433309521379564E-3</v>
      </c>
      <c r="H145" s="13">
        <f ca="1">IFERROR(__xludf.DUMMYFUNCTION("GOOGLEFINANCE(""NSE:""&amp;A145,""VOLUME"")"),282809)</f>
        <v>282809</v>
      </c>
      <c r="I145" s="13" t="str">
        <f ca="1">IFERROR(__xludf.DUMMYFUNCTION("AVERAGE(index(GOOGLEFINANCE(""NSE:""&amp;$A145, ""volume"", today()-21, today()-1), , 2))"),"#N/A")</f>
        <v>#N/A</v>
      </c>
      <c r="J145" s="14" t="e">
        <f t="shared" ca="1" si="41"/>
        <v>#VALUE!</v>
      </c>
      <c r="K145" s="13" t="str">
        <f ca="1">IFERROR(__xludf.DUMMYFUNCTION("AVERAGE(index(GOOGLEFINANCE(""NSE:""&amp;$A145, ""close"", today()-6, today()-1), , 2))"),"#N/A")</f>
        <v>#N/A</v>
      </c>
      <c r="L145" s="13" t="str">
        <f ca="1">IFERROR(__xludf.DUMMYFUNCTION("AVERAGE(index(GOOGLEFINANCE(""NSE:""&amp;$A145, ""close"", today()-14, today()-1), , 2))"),"#N/A")</f>
        <v>#N/A</v>
      </c>
      <c r="M145" s="13" t="str">
        <f ca="1">IFERROR(__xludf.DUMMYFUNCTION("AVERAGE(index(GOOGLEFINANCE(""NSE:""&amp;$A145, ""close"", today()-22, today()-1), , 2))"),"#N/A")</f>
        <v>#N/A</v>
      </c>
      <c r="N145" s="13" t="str">
        <f t="shared" ca="1" si="42"/>
        <v>No_Action</v>
      </c>
      <c r="O145" s="13" t="str">
        <f t="shared" ca="1" si="43"/>
        <v>No_Action</v>
      </c>
      <c r="P145" s="13" t="str">
        <f t="shared" ca="1" si="44"/>
        <v>No_Action</v>
      </c>
      <c r="Q145" s="13" t="str">
        <f t="shared" ca="1" si="45"/>
        <v>No_Action</v>
      </c>
      <c r="R145" s="15"/>
      <c r="S145" s="15" t="str">
        <f t="shared" ca="1" si="46"/>
        <v>NoNo</v>
      </c>
      <c r="T145" s="15"/>
      <c r="U145" s="15">
        <f t="shared" ca="1" si="47"/>
        <v>0</v>
      </c>
      <c r="V145" s="15">
        <f t="shared" ca="1" si="48"/>
        <v>0</v>
      </c>
      <c r="W145" s="15" t="str">
        <f t="shared" ca="1" si="49"/>
        <v>No_Action</v>
      </c>
      <c r="X145" s="15"/>
      <c r="Y145" s="15" t="str">
        <f t="shared" ca="1" si="50"/>
        <v>No_Action</v>
      </c>
      <c r="Z145" s="15">
        <f t="shared" ca="1" si="51"/>
        <v>0</v>
      </c>
      <c r="AA145" s="15">
        <f t="shared" ca="1" si="52"/>
        <v>0</v>
      </c>
      <c r="AB145" s="15"/>
      <c r="AC145" s="15" t="str">
        <f t="shared" ca="1" si="53"/>
        <v>NoNo</v>
      </c>
      <c r="AD145" s="15"/>
      <c r="AE145" s="15">
        <f t="shared" ca="1" si="54"/>
        <v>0</v>
      </c>
      <c r="AF145" s="16">
        <f t="shared" ca="1" si="55"/>
        <v>0</v>
      </c>
      <c r="AG145" s="16" t="str">
        <f t="shared" ca="1" si="56"/>
        <v>No_Action</v>
      </c>
      <c r="AH145" s="15"/>
      <c r="AI145" s="15" t="str">
        <f t="shared" ca="1" si="57"/>
        <v>No_Action</v>
      </c>
      <c r="AJ145" s="15">
        <f t="shared" ca="1" si="58"/>
        <v>0</v>
      </c>
      <c r="AK145" s="15">
        <f t="shared" ca="1" si="59"/>
        <v>0</v>
      </c>
    </row>
    <row r="146" spans="1:37" ht="14.5" customHeight="1" x14ac:dyDescent="0.35">
      <c r="A146" s="12" t="s">
        <v>162</v>
      </c>
      <c r="B146" s="13">
        <f ca="1">IFERROR(__xludf.DUMMYFUNCTION("GOOGLEFINANCE(""NSE:""&amp;A146,""PRICE"")"),670.3)</f>
        <v>670.3</v>
      </c>
      <c r="C146" s="13">
        <f ca="1">IFERROR(__xludf.DUMMYFUNCTION("GOOGLEFINANCE(""NSE:""&amp;A146,""PRICEOPEN"")"),666.95)</f>
        <v>666.95</v>
      </c>
      <c r="D146" s="13">
        <f ca="1">IFERROR(__xludf.DUMMYFUNCTION("GOOGLEFINANCE(""NSE:""&amp;A146,""HIGH"")"),672.5)</f>
        <v>672.5</v>
      </c>
      <c r="E146" s="13">
        <f ca="1">IFERROR(__xludf.DUMMYFUNCTION("GOOGLEFINANCE(""NSE:""&amp;A146,""LOW"")"),654.25)</f>
        <v>654.25</v>
      </c>
      <c r="F146" s="13">
        <f ca="1">IFERROR(__xludf.DUMMYFUNCTION("GOOGLEFINANCE(""NSE:""&amp;A146,""closeyest"")"),670.15)</f>
        <v>670.15</v>
      </c>
      <c r="G146" s="14">
        <f t="shared" ca="1" si="40"/>
        <v>4.9977621960314925E-3</v>
      </c>
      <c r="H146" s="13">
        <f ca="1">IFERROR(__xludf.DUMMYFUNCTION("GOOGLEFINANCE(""NSE:""&amp;A146,""VOLUME"")"),5079369)</f>
        <v>5079369</v>
      </c>
      <c r="I146" s="13" t="str">
        <f ca="1">IFERROR(__xludf.DUMMYFUNCTION("AVERAGE(index(GOOGLEFINANCE(""NSE:""&amp;$A146, ""volume"", today()-21, today()-1), , 2))"),"#N/A")</f>
        <v>#N/A</v>
      </c>
      <c r="J146" s="14" t="e">
        <f t="shared" ca="1" si="41"/>
        <v>#VALUE!</v>
      </c>
      <c r="K146" s="13" t="str">
        <f ca="1">IFERROR(__xludf.DUMMYFUNCTION("AVERAGE(index(GOOGLEFINANCE(""NSE:""&amp;$A146, ""close"", today()-6, today()-1), , 2))"),"#N/A")</f>
        <v>#N/A</v>
      </c>
      <c r="L146" s="13" t="str">
        <f ca="1">IFERROR(__xludf.DUMMYFUNCTION("AVERAGE(index(GOOGLEFINANCE(""NSE:""&amp;$A146, ""close"", today()-14, today()-1), , 2))"),"#N/A")</f>
        <v>#N/A</v>
      </c>
      <c r="M146" s="13" t="str">
        <f ca="1">IFERROR(__xludf.DUMMYFUNCTION("AVERAGE(index(GOOGLEFINANCE(""NSE:""&amp;$A146, ""close"", today()-22, today()-1), , 2))"),"#N/A")</f>
        <v>#N/A</v>
      </c>
      <c r="N146" s="13" t="str">
        <f t="shared" ca="1" si="42"/>
        <v>No_Action</v>
      </c>
      <c r="O146" s="13" t="str">
        <f t="shared" ca="1" si="43"/>
        <v>No_Action</v>
      </c>
      <c r="P146" s="13" t="str">
        <f t="shared" ca="1" si="44"/>
        <v>No_Action</v>
      </c>
      <c r="Q146" s="13" t="str">
        <f t="shared" ca="1" si="45"/>
        <v>No_Action</v>
      </c>
      <c r="R146" s="15"/>
      <c r="S146" s="15" t="str">
        <f t="shared" ca="1" si="46"/>
        <v>NoNo</v>
      </c>
      <c r="T146" s="15"/>
      <c r="U146" s="15">
        <f t="shared" ca="1" si="47"/>
        <v>0</v>
      </c>
      <c r="V146" s="15">
        <f t="shared" ca="1" si="48"/>
        <v>0</v>
      </c>
      <c r="W146" s="15" t="str">
        <f t="shared" ca="1" si="49"/>
        <v>No_Action</v>
      </c>
      <c r="X146" s="15"/>
      <c r="Y146" s="15" t="str">
        <f t="shared" ca="1" si="50"/>
        <v>No_Action</v>
      </c>
      <c r="Z146" s="15">
        <f t="shared" ca="1" si="51"/>
        <v>0</v>
      </c>
      <c r="AA146" s="15">
        <f t="shared" ca="1" si="52"/>
        <v>0</v>
      </c>
      <c r="AB146" s="15"/>
      <c r="AC146" s="15" t="str">
        <f t="shared" ca="1" si="53"/>
        <v>NoNo</v>
      </c>
      <c r="AD146" s="15"/>
      <c r="AE146" s="15">
        <f t="shared" ca="1" si="54"/>
        <v>0</v>
      </c>
      <c r="AF146" s="16">
        <f t="shared" ca="1" si="55"/>
        <v>0</v>
      </c>
      <c r="AG146" s="16" t="str">
        <f t="shared" ca="1" si="56"/>
        <v>No_Action</v>
      </c>
      <c r="AH146" s="15"/>
      <c r="AI146" s="15" t="str">
        <f t="shared" ca="1" si="57"/>
        <v>No_Action</v>
      </c>
      <c r="AJ146" s="15">
        <f t="shared" ca="1" si="58"/>
        <v>0</v>
      </c>
      <c r="AK146" s="15">
        <f t="shared" ca="1" si="59"/>
        <v>0</v>
      </c>
    </row>
    <row r="147" spans="1:37" ht="14.5" customHeight="1" x14ac:dyDescent="0.35">
      <c r="A147" s="12" t="s">
        <v>163</v>
      </c>
      <c r="B147" s="13">
        <f ca="1">IFERROR(__xludf.DUMMYFUNCTION("GOOGLEFINANCE(""NSE:""&amp;A147,""PRICE"")"),403)</f>
        <v>403</v>
      </c>
      <c r="C147" s="13">
        <f ca="1">IFERROR(__xludf.DUMMYFUNCTION("GOOGLEFINANCE(""NSE:""&amp;A147,""PRICEOPEN"")"),405)</f>
        <v>405</v>
      </c>
      <c r="D147" s="13">
        <f ca="1">IFERROR(__xludf.DUMMYFUNCTION("GOOGLEFINANCE(""NSE:""&amp;A147,""HIGH"")"),417)</f>
        <v>417</v>
      </c>
      <c r="E147" s="13">
        <f ca="1">IFERROR(__xludf.DUMMYFUNCTION("GOOGLEFINANCE(""NSE:""&amp;A147,""LOW"")"),401.15)</f>
        <v>401.15</v>
      </c>
      <c r="F147" s="13">
        <f ca="1">IFERROR(__xludf.DUMMYFUNCTION("GOOGLEFINANCE(""NSE:""&amp;A147,""closeyest"")"),400.2)</f>
        <v>400.2</v>
      </c>
      <c r="G147" s="14">
        <f t="shared" ca="1" si="40"/>
        <v>-4.9627791563275434E-3</v>
      </c>
      <c r="H147" s="13">
        <f ca="1">IFERROR(__xludf.DUMMYFUNCTION("GOOGLEFINANCE(""NSE:""&amp;A147,""VOLUME"")"),61729)</f>
        <v>61729</v>
      </c>
      <c r="I147" s="13" t="str">
        <f ca="1">IFERROR(__xludf.DUMMYFUNCTION("AVERAGE(index(GOOGLEFINANCE(""NSE:""&amp;$A147, ""volume"", today()-21, today()-1), , 2))"),"#N/A")</f>
        <v>#N/A</v>
      </c>
      <c r="J147" s="14" t="e">
        <f t="shared" ca="1" si="41"/>
        <v>#VALUE!</v>
      </c>
      <c r="K147" s="13" t="str">
        <f ca="1">IFERROR(__xludf.DUMMYFUNCTION("AVERAGE(index(GOOGLEFINANCE(""NSE:""&amp;$A147, ""close"", today()-6, today()-1), , 2))"),"#N/A")</f>
        <v>#N/A</v>
      </c>
      <c r="L147" s="13" t="str">
        <f ca="1">IFERROR(__xludf.DUMMYFUNCTION("AVERAGE(index(GOOGLEFINANCE(""NSE:""&amp;$A147, ""close"", today()-14, today()-1), , 2))"),"#N/A")</f>
        <v>#N/A</v>
      </c>
      <c r="M147" s="13" t="str">
        <f ca="1">IFERROR(__xludf.DUMMYFUNCTION("AVERAGE(index(GOOGLEFINANCE(""NSE:""&amp;$A147, ""close"", today()-22, today()-1), , 2))"),"#N/A")</f>
        <v>#N/A</v>
      </c>
      <c r="N147" s="13" t="str">
        <f t="shared" ca="1" si="42"/>
        <v>No_Action</v>
      </c>
      <c r="O147" s="13" t="str">
        <f t="shared" ca="1" si="43"/>
        <v>No_Action</v>
      </c>
      <c r="P147" s="13" t="str">
        <f t="shared" ca="1" si="44"/>
        <v>No_Action</v>
      </c>
      <c r="Q147" s="13" t="str">
        <f t="shared" ca="1" si="45"/>
        <v>No_Action</v>
      </c>
      <c r="R147" s="15"/>
      <c r="S147" s="15" t="str">
        <f t="shared" ca="1" si="46"/>
        <v>NoNo</v>
      </c>
      <c r="T147" s="15"/>
      <c r="U147" s="15">
        <f t="shared" ca="1" si="47"/>
        <v>0</v>
      </c>
      <c r="V147" s="15">
        <f t="shared" ca="1" si="48"/>
        <v>0</v>
      </c>
      <c r="W147" s="15" t="str">
        <f t="shared" ca="1" si="49"/>
        <v>No_Action</v>
      </c>
      <c r="X147" s="15"/>
      <c r="Y147" s="15" t="str">
        <f t="shared" ca="1" si="50"/>
        <v>No_Action</v>
      </c>
      <c r="Z147" s="15">
        <f t="shared" ca="1" si="51"/>
        <v>0</v>
      </c>
      <c r="AA147" s="15">
        <f t="shared" ca="1" si="52"/>
        <v>0</v>
      </c>
      <c r="AB147" s="15"/>
      <c r="AC147" s="15" t="str">
        <f t="shared" ca="1" si="53"/>
        <v>NoNo</v>
      </c>
      <c r="AD147" s="15"/>
      <c r="AE147" s="15">
        <f t="shared" ca="1" si="54"/>
        <v>0</v>
      </c>
      <c r="AF147" s="16">
        <f t="shared" ca="1" si="55"/>
        <v>0</v>
      </c>
      <c r="AG147" s="16" t="str">
        <f t="shared" ca="1" si="56"/>
        <v>No_Action</v>
      </c>
      <c r="AH147" s="15"/>
      <c r="AI147" s="15" t="str">
        <f t="shared" ca="1" si="57"/>
        <v>No_Action</v>
      </c>
      <c r="AJ147" s="15">
        <f t="shared" ca="1" si="58"/>
        <v>0</v>
      </c>
      <c r="AK147" s="15">
        <f t="shared" ca="1" si="59"/>
        <v>0</v>
      </c>
    </row>
    <row r="148" spans="1:37" ht="14.5" customHeight="1" x14ac:dyDescent="0.35">
      <c r="A148" s="12" t="s">
        <v>164</v>
      </c>
      <c r="B148" s="13">
        <f ca="1">IFERROR(__xludf.DUMMYFUNCTION("GOOGLEFINANCE(""NSE:""&amp;A148,""PRICE"")"),1323.5)</f>
        <v>1323.5</v>
      </c>
      <c r="C148" s="13">
        <f ca="1">IFERROR(__xludf.DUMMYFUNCTION("GOOGLEFINANCE(""NSE:""&amp;A148,""PRICEOPEN"")"),1322.1)</f>
        <v>1322.1</v>
      </c>
      <c r="D148" s="13">
        <f ca="1">IFERROR(__xludf.DUMMYFUNCTION("GOOGLEFINANCE(""NSE:""&amp;A148,""HIGH"")"),1329.05)</f>
        <v>1329.05</v>
      </c>
      <c r="E148" s="13">
        <f ca="1">IFERROR(__xludf.DUMMYFUNCTION("GOOGLEFINANCE(""NSE:""&amp;A148,""LOW"")"),1320.25)</f>
        <v>1320.25</v>
      </c>
      <c r="F148" s="13">
        <f ca="1">IFERROR(__xludf.DUMMYFUNCTION("GOOGLEFINANCE(""NSE:""&amp;A148,""closeyest"")"),1328.75)</f>
        <v>1328.75</v>
      </c>
      <c r="G148" s="14">
        <f t="shared" ca="1" si="40"/>
        <v>1.057801284473057E-3</v>
      </c>
      <c r="H148" s="13">
        <f ca="1">IFERROR(__xludf.DUMMYFUNCTION("GOOGLEFINANCE(""NSE:""&amp;A148,""VOLUME"")"),8000764)</f>
        <v>8000764</v>
      </c>
      <c r="I148" s="13" t="str">
        <f ca="1">IFERROR(__xludf.DUMMYFUNCTION("AVERAGE(index(GOOGLEFINANCE(""NSE:""&amp;$A148, ""volume"", today()-21, today()-1), , 2))"),"#N/A")</f>
        <v>#N/A</v>
      </c>
      <c r="J148" s="14" t="e">
        <f t="shared" ca="1" si="41"/>
        <v>#VALUE!</v>
      </c>
      <c r="K148" s="13" t="str">
        <f ca="1">IFERROR(__xludf.DUMMYFUNCTION("AVERAGE(index(GOOGLEFINANCE(""NSE:""&amp;$A148, ""close"", today()-6, today()-1), , 2))"),"#N/A")</f>
        <v>#N/A</v>
      </c>
      <c r="L148" s="13" t="str">
        <f ca="1">IFERROR(__xludf.DUMMYFUNCTION("AVERAGE(index(GOOGLEFINANCE(""NSE:""&amp;$A148, ""close"", today()-14, today()-1), , 2))"),"#N/A")</f>
        <v>#N/A</v>
      </c>
      <c r="M148" s="13" t="str">
        <f ca="1">IFERROR(__xludf.DUMMYFUNCTION("AVERAGE(index(GOOGLEFINANCE(""NSE:""&amp;$A148, ""close"", today()-22, today()-1), , 2))"),"#N/A")</f>
        <v>#N/A</v>
      </c>
      <c r="N148" s="13" t="str">
        <f t="shared" ca="1" si="42"/>
        <v>No_Action</v>
      </c>
      <c r="O148" s="13" t="str">
        <f t="shared" ca="1" si="43"/>
        <v>No_Action</v>
      </c>
      <c r="P148" s="13" t="str">
        <f t="shared" ca="1" si="44"/>
        <v>No_Action</v>
      </c>
      <c r="Q148" s="13" t="str">
        <f t="shared" ca="1" si="45"/>
        <v>No_Action</v>
      </c>
      <c r="R148" s="15"/>
      <c r="S148" s="15" t="str">
        <f t="shared" ca="1" si="46"/>
        <v>NoNo</v>
      </c>
      <c r="T148" s="15"/>
      <c r="U148" s="15">
        <f t="shared" ca="1" si="47"/>
        <v>0</v>
      </c>
      <c r="V148" s="15">
        <f t="shared" ca="1" si="48"/>
        <v>0</v>
      </c>
      <c r="W148" s="15" t="str">
        <f t="shared" ca="1" si="49"/>
        <v>No_Action</v>
      </c>
      <c r="X148" s="15"/>
      <c r="Y148" s="15" t="str">
        <f t="shared" ca="1" si="50"/>
        <v>No_Action</v>
      </c>
      <c r="Z148" s="15">
        <f t="shared" ca="1" si="51"/>
        <v>0</v>
      </c>
      <c r="AA148" s="15">
        <f t="shared" ca="1" si="52"/>
        <v>0</v>
      </c>
      <c r="AB148" s="15"/>
      <c r="AC148" s="15" t="str">
        <f t="shared" ca="1" si="53"/>
        <v>NoNo</v>
      </c>
      <c r="AD148" s="15"/>
      <c r="AE148" s="15">
        <f t="shared" ca="1" si="54"/>
        <v>0</v>
      </c>
      <c r="AF148" s="16">
        <f t="shared" ca="1" si="55"/>
        <v>0</v>
      </c>
      <c r="AG148" s="16" t="str">
        <f t="shared" ca="1" si="56"/>
        <v>No_Action</v>
      </c>
      <c r="AH148" s="15"/>
      <c r="AI148" s="15" t="str">
        <f t="shared" ca="1" si="57"/>
        <v>No_Action</v>
      </c>
      <c r="AJ148" s="15">
        <f t="shared" ca="1" si="58"/>
        <v>0</v>
      </c>
      <c r="AK148" s="15">
        <f t="shared" ca="1" si="59"/>
        <v>0</v>
      </c>
    </row>
    <row r="149" spans="1:37" ht="14.5" customHeight="1" x14ac:dyDescent="0.35">
      <c r="A149" s="12" t="s">
        <v>165</v>
      </c>
      <c r="B149" s="13" t="str">
        <f ca="1">IFERROR(__xludf.DUMMYFUNCTION("GOOGLEFINANCE(""NSE:""&amp;A149,""PRICE"")"),"#N/A")</f>
        <v>#N/A</v>
      </c>
      <c r="C149" s="13" t="str">
        <f ca="1">IFERROR(__xludf.DUMMYFUNCTION("GOOGLEFINANCE(""NSE:""&amp;A149,""PRICEOPEN"")"),"#N/A")</f>
        <v>#N/A</v>
      </c>
      <c r="D149" s="13" t="str">
        <f ca="1">IFERROR(__xludf.DUMMYFUNCTION("GOOGLEFINANCE(""NSE:""&amp;A149,""HIGH"")"),"#N/A")</f>
        <v>#N/A</v>
      </c>
      <c r="E149" s="13" t="str">
        <f ca="1">IFERROR(__xludf.DUMMYFUNCTION("GOOGLEFINANCE(""NSE:""&amp;A149,""LOW"")"),"#N/A")</f>
        <v>#N/A</v>
      </c>
      <c r="F149" s="13" t="str">
        <f ca="1">IFERROR(__xludf.DUMMYFUNCTION("GOOGLEFINANCE(""NSE:""&amp;A149,""closeyest"")"),"#N/A")</f>
        <v>#N/A</v>
      </c>
      <c r="G149" s="14" t="e">
        <f t="shared" ca="1" si="40"/>
        <v>#VALUE!</v>
      </c>
      <c r="H149" s="13" t="str">
        <f ca="1">IFERROR(__xludf.DUMMYFUNCTION("GOOGLEFINANCE(""NSE:""&amp;A149,""VOLUME"")"),"#N/A")</f>
        <v>#N/A</v>
      </c>
      <c r="I149" s="13" t="str">
        <f ca="1">IFERROR(__xludf.DUMMYFUNCTION("AVERAGE(index(GOOGLEFINANCE(""NSE:""&amp;$A149, ""volume"", today()-21, today()-1), , 2))"),"#N/A")</f>
        <v>#N/A</v>
      </c>
      <c r="J149" s="14" t="e">
        <f t="shared" ca="1" si="41"/>
        <v>#VALUE!</v>
      </c>
      <c r="K149" s="13" t="str">
        <f ca="1">IFERROR(__xludf.DUMMYFUNCTION("AVERAGE(index(GOOGLEFINANCE(""NSE:""&amp;$A149, ""close"", today()-6, today()-1), , 2))"),"#N/A")</f>
        <v>#N/A</v>
      </c>
      <c r="L149" s="13" t="str">
        <f ca="1">IFERROR(__xludf.DUMMYFUNCTION("AVERAGE(index(GOOGLEFINANCE(""NSE:""&amp;$A149, ""close"", today()-14, today()-1), , 2))"),"#N/A")</f>
        <v>#N/A</v>
      </c>
      <c r="M149" s="13" t="str">
        <f ca="1">IFERROR(__xludf.DUMMYFUNCTION("AVERAGE(index(GOOGLEFINANCE(""NSE:""&amp;$A149, ""close"", today()-22, today()-1), , 2))"),"#N/A")</f>
        <v>#N/A</v>
      </c>
      <c r="N149" s="13" t="str">
        <f t="shared" ca="1" si="42"/>
        <v>No_Action</v>
      </c>
      <c r="O149" s="13" t="str">
        <f t="shared" ca="1" si="43"/>
        <v>No_Action</v>
      </c>
      <c r="P149" s="13" t="str">
        <f t="shared" ca="1" si="44"/>
        <v>No_Action</v>
      </c>
      <c r="Q149" s="13" t="str">
        <f t="shared" ca="1" si="45"/>
        <v>No_Action</v>
      </c>
      <c r="R149" s="15"/>
      <c r="S149" s="15" t="str">
        <f t="shared" ca="1" si="46"/>
        <v>NoNo</v>
      </c>
      <c r="T149" s="15"/>
      <c r="U149" s="15">
        <f t="shared" ca="1" si="47"/>
        <v>0</v>
      </c>
      <c r="V149" s="15">
        <f t="shared" ca="1" si="48"/>
        <v>0</v>
      </c>
      <c r="W149" s="15" t="str">
        <f t="shared" ca="1" si="49"/>
        <v>No_Action</v>
      </c>
      <c r="X149" s="15"/>
      <c r="Y149" s="15" t="str">
        <f t="shared" ca="1" si="50"/>
        <v>No_Action</v>
      </c>
      <c r="Z149" s="15">
        <f t="shared" ca="1" si="51"/>
        <v>0</v>
      </c>
      <c r="AA149" s="15">
        <f t="shared" ca="1" si="52"/>
        <v>0</v>
      </c>
      <c r="AB149" s="15"/>
      <c r="AC149" s="15" t="str">
        <f t="shared" ca="1" si="53"/>
        <v>NoNo</v>
      </c>
      <c r="AD149" s="15"/>
      <c r="AE149" s="15">
        <f t="shared" ca="1" si="54"/>
        <v>0</v>
      </c>
      <c r="AF149" s="16">
        <f t="shared" ca="1" si="55"/>
        <v>0</v>
      </c>
      <c r="AG149" s="16" t="str">
        <f t="shared" ca="1" si="56"/>
        <v>No_Action</v>
      </c>
      <c r="AH149" s="15"/>
      <c r="AI149" s="15" t="str">
        <f t="shared" ca="1" si="57"/>
        <v>No_Action</v>
      </c>
      <c r="AJ149" s="15">
        <f t="shared" ca="1" si="58"/>
        <v>0</v>
      </c>
      <c r="AK149" s="15">
        <f t="shared" ca="1" si="59"/>
        <v>0</v>
      </c>
    </row>
    <row r="150" spans="1:37" ht="14.5" customHeight="1" x14ac:dyDescent="0.35">
      <c r="A150" s="12" t="s">
        <v>166</v>
      </c>
      <c r="B150" s="13">
        <f ca="1">IFERROR(__xludf.DUMMYFUNCTION("GOOGLEFINANCE(""NSE:""&amp;A150,""PRICE"")"),2370)</f>
        <v>2370</v>
      </c>
      <c r="C150" s="13">
        <f ca="1">IFERROR(__xludf.DUMMYFUNCTION("GOOGLEFINANCE(""NSE:""&amp;A150,""PRICEOPEN"")"),2357.85)</f>
        <v>2357.85</v>
      </c>
      <c r="D150" s="13">
        <f ca="1">IFERROR(__xludf.DUMMYFUNCTION("GOOGLEFINANCE(""NSE:""&amp;A150,""HIGH"")"),2378)</f>
        <v>2378</v>
      </c>
      <c r="E150" s="13">
        <f ca="1">IFERROR(__xludf.DUMMYFUNCTION("GOOGLEFINANCE(""NSE:""&amp;A150,""LOW"")"),2357)</f>
        <v>2357</v>
      </c>
      <c r="F150" s="13">
        <f ca="1">IFERROR(__xludf.DUMMYFUNCTION("GOOGLEFINANCE(""NSE:""&amp;A150,""closeyest"")"),2357.85)</f>
        <v>2357.85</v>
      </c>
      <c r="G150" s="14">
        <f t="shared" ca="1" si="40"/>
        <v>5.1265822784810509E-3</v>
      </c>
      <c r="H150" s="13">
        <f ca="1">IFERROR(__xludf.DUMMYFUNCTION("GOOGLEFINANCE(""NSE:""&amp;A150,""VOLUME"")"),103487)</f>
        <v>103487</v>
      </c>
      <c r="I150" s="13" t="str">
        <f ca="1">IFERROR(__xludf.DUMMYFUNCTION("AVERAGE(index(GOOGLEFINANCE(""NSE:""&amp;$A150, ""volume"", today()-21, today()-1), , 2))"),"#N/A")</f>
        <v>#N/A</v>
      </c>
      <c r="J150" s="14" t="e">
        <f t="shared" ca="1" si="41"/>
        <v>#VALUE!</v>
      </c>
      <c r="K150" s="13" t="str">
        <f ca="1">IFERROR(__xludf.DUMMYFUNCTION("AVERAGE(index(GOOGLEFINANCE(""NSE:""&amp;$A150, ""close"", today()-6, today()-1), , 2))"),"#N/A")</f>
        <v>#N/A</v>
      </c>
      <c r="L150" s="13" t="str">
        <f ca="1">IFERROR(__xludf.DUMMYFUNCTION("AVERAGE(index(GOOGLEFINANCE(""NSE:""&amp;$A150, ""close"", today()-14, today()-1), , 2))"),"#N/A")</f>
        <v>#N/A</v>
      </c>
      <c r="M150" s="13" t="str">
        <f ca="1">IFERROR(__xludf.DUMMYFUNCTION("AVERAGE(index(GOOGLEFINANCE(""NSE:""&amp;$A150, ""close"", today()-22, today()-1), , 2))"),"#N/A")</f>
        <v>#N/A</v>
      </c>
      <c r="N150" s="13" t="str">
        <f t="shared" ca="1" si="42"/>
        <v>No_Action</v>
      </c>
      <c r="O150" s="13" t="str">
        <f t="shared" ca="1" si="43"/>
        <v>No_Action</v>
      </c>
      <c r="P150" s="13" t="str">
        <f t="shared" ca="1" si="44"/>
        <v>No_Action</v>
      </c>
      <c r="Q150" s="13" t="str">
        <f t="shared" ca="1" si="45"/>
        <v>No_Action</v>
      </c>
      <c r="R150" s="15"/>
      <c r="S150" s="15" t="str">
        <f t="shared" ca="1" si="46"/>
        <v>NoNo</v>
      </c>
      <c r="T150" s="15"/>
      <c r="U150" s="15">
        <f t="shared" ca="1" si="47"/>
        <v>0</v>
      </c>
      <c r="V150" s="15">
        <f t="shared" ca="1" si="48"/>
        <v>0</v>
      </c>
      <c r="W150" s="15" t="str">
        <f t="shared" ca="1" si="49"/>
        <v>No_Action</v>
      </c>
      <c r="X150" s="15"/>
      <c r="Y150" s="15" t="str">
        <f t="shared" ca="1" si="50"/>
        <v>No_Action</v>
      </c>
      <c r="Z150" s="15">
        <f t="shared" ca="1" si="51"/>
        <v>0</v>
      </c>
      <c r="AA150" s="15">
        <f t="shared" ca="1" si="52"/>
        <v>0</v>
      </c>
      <c r="AB150" s="15"/>
      <c r="AC150" s="15" t="str">
        <f t="shared" ca="1" si="53"/>
        <v>NoNo</v>
      </c>
      <c r="AD150" s="15"/>
      <c r="AE150" s="15">
        <f t="shared" ca="1" si="54"/>
        <v>0</v>
      </c>
      <c r="AF150" s="16">
        <f t="shared" ca="1" si="55"/>
        <v>0</v>
      </c>
      <c r="AG150" s="16" t="str">
        <f t="shared" ca="1" si="56"/>
        <v>No_Action</v>
      </c>
      <c r="AH150" s="15"/>
      <c r="AI150" s="15" t="str">
        <f t="shared" ca="1" si="57"/>
        <v>No_Action</v>
      </c>
      <c r="AJ150" s="15">
        <f t="shared" ca="1" si="58"/>
        <v>0</v>
      </c>
      <c r="AK150" s="15">
        <f t="shared" ca="1" si="59"/>
        <v>0</v>
      </c>
    </row>
    <row r="151" spans="1:37" ht="14.5" customHeight="1" x14ac:dyDescent="0.35">
      <c r="A151" s="12" t="s">
        <v>167</v>
      </c>
      <c r="B151" s="13">
        <f ca="1">IFERROR(__xludf.DUMMYFUNCTION("GOOGLEFINANCE(""NSE:""&amp;A151,""PRICE"")"),594)</f>
        <v>594</v>
      </c>
      <c r="C151" s="13">
        <f ca="1">IFERROR(__xludf.DUMMYFUNCTION("GOOGLEFINANCE(""NSE:""&amp;A151,""PRICEOPEN"")"),594.4)</f>
        <v>594.4</v>
      </c>
      <c r="D151" s="13">
        <f ca="1">IFERROR(__xludf.DUMMYFUNCTION("GOOGLEFINANCE(""NSE:""&amp;A151,""HIGH"")"),603.25)</f>
        <v>603.25</v>
      </c>
      <c r="E151" s="13">
        <f ca="1">IFERROR(__xludf.DUMMYFUNCTION("GOOGLEFINANCE(""NSE:""&amp;A151,""LOW"")"),591.4)</f>
        <v>591.4</v>
      </c>
      <c r="F151" s="13">
        <f ca="1">IFERROR(__xludf.DUMMYFUNCTION("GOOGLEFINANCE(""NSE:""&amp;A151,""closeyest"")"),594.4)</f>
        <v>594.4</v>
      </c>
      <c r="G151" s="14">
        <f t="shared" ca="1" si="40"/>
        <v>-6.7340067340063516E-4</v>
      </c>
      <c r="H151" s="13">
        <f ca="1">IFERROR(__xludf.DUMMYFUNCTION("GOOGLEFINANCE(""NSE:""&amp;A151,""VOLUME"")"),2038776)</f>
        <v>2038776</v>
      </c>
      <c r="I151" s="13" t="str">
        <f ca="1">IFERROR(__xludf.DUMMYFUNCTION("AVERAGE(index(GOOGLEFINANCE(""NSE:""&amp;$A151, ""volume"", today()-21, today()-1), , 2))"),"#N/A")</f>
        <v>#N/A</v>
      </c>
      <c r="J151" s="14" t="e">
        <f t="shared" ca="1" si="41"/>
        <v>#VALUE!</v>
      </c>
      <c r="K151" s="13" t="str">
        <f ca="1">IFERROR(__xludf.DUMMYFUNCTION("AVERAGE(index(GOOGLEFINANCE(""NSE:""&amp;$A151, ""close"", today()-6, today()-1), , 2))"),"#N/A")</f>
        <v>#N/A</v>
      </c>
      <c r="L151" s="13" t="str">
        <f ca="1">IFERROR(__xludf.DUMMYFUNCTION("AVERAGE(index(GOOGLEFINANCE(""NSE:""&amp;$A151, ""close"", today()-14, today()-1), , 2))"),"#N/A")</f>
        <v>#N/A</v>
      </c>
      <c r="M151" s="13" t="str">
        <f ca="1">IFERROR(__xludf.DUMMYFUNCTION("AVERAGE(index(GOOGLEFINANCE(""NSE:""&amp;$A151, ""close"", today()-22, today()-1), , 2))"),"#N/A")</f>
        <v>#N/A</v>
      </c>
      <c r="N151" s="13" t="str">
        <f t="shared" ca="1" si="42"/>
        <v>No_Action</v>
      </c>
      <c r="O151" s="13" t="str">
        <f t="shared" ca="1" si="43"/>
        <v>No_Action</v>
      </c>
      <c r="P151" s="13" t="str">
        <f t="shared" ca="1" si="44"/>
        <v>No_Action</v>
      </c>
      <c r="Q151" s="13" t="str">
        <f t="shared" ca="1" si="45"/>
        <v>No_Action</v>
      </c>
      <c r="R151" s="15"/>
      <c r="S151" s="15" t="str">
        <f t="shared" ca="1" si="46"/>
        <v>NoNo</v>
      </c>
      <c r="T151" s="15"/>
      <c r="U151" s="15">
        <f t="shared" ca="1" si="47"/>
        <v>0</v>
      </c>
      <c r="V151" s="15">
        <f t="shared" ca="1" si="48"/>
        <v>0</v>
      </c>
      <c r="W151" s="15" t="str">
        <f t="shared" ca="1" si="49"/>
        <v>No_Action</v>
      </c>
      <c r="X151" s="15"/>
      <c r="Y151" s="15" t="str">
        <f t="shared" ca="1" si="50"/>
        <v>No_Action</v>
      </c>
      <c r="Z151" s="15">
        <f t="shared" ca="1" si="51"/>
        <v>0</v>
      </c>
      <c r="AA151" s="15">
        <f t="shared" ca="1" si="52"/>
        <v>0</v>
      </c>
      <c r="AB151" s="15"/>
      <c r="AC151" s="15" t="str">
        <f t="shared" ca="1" si="53"/>
        <v>NoNo</v>
      </c>
      <c r="AD151" s="15"/>
      <c r="AE151" s="15">
        <f t="shared" ca="1" si="54"/>
        <v>0</v>
      </c>
      <c r="AF151" s="16">
        <f t="shared" ca="1" si="55"/>
        <v>0</v>
      </c>
      <c r="AG151" s="16" t="str">
        <f t="shared" ca="1" si="56"/>
        <v>No_Action</v>
      </c>
      <c r="AH151" s="15"/>
      <c r="AI151" s="15" t="str">
        <f t="shared" ca="1" si="57"/>
        <v>No_Action</v>
      </c>
      <c r="AJ151" s="15">
        <f t="shared" ca="1" si="58"/>
        <v>0</v>
      </c>
      <c r="AK151" s="15">
        <f t="shared" ca="1" si="59"/>
        <v>0</v>
      </c>
    </row>
    <row r="152" spans="1:37" ht="14.5" customHeight="1" x14ac:dyDescent="0.35">
      <c r="A152" s="12" t="s">
        <v>168</v>
      </c>
      <c r="B152" s="13">
        <f ca="1">IFERROR(__xludf.DUMMYFUNCTION("GOOGLEFINANCE(""NSE:""&amp;A152,""PRICE"")"),835.25)</f>
        <v>835.25</v>
      </c>
      <c r="C152" s="13">
        <f ca="1">IFERROR(__xludf.DUMMYFUNCTION("GOOGLEFINANCE(""NSE:""&amp;A152,""PRICEOPEN"")"),827)</f>
        <v>827</v>
      </c>
      <c r="D152" s="13">
        <f ca="1">IFERROR(__xludf.DUMMYFUNCTION("GOOGLEFINANCE(""NSE:""&amp;A152,""HIGH"")"),841.9)</f>
        <v>841.9</v>
      </c>
      <c r="E152" s="13">
        <f ca="1">IFERROR(__xludf.DUMMYFUNCTION("GOOGLEFINANCE(""NSE:""&amp;A152,""LOW"")"),825.1)</f>
        <v>825.1</v>
      </c>
      <c r="F152" s="13">
        <f ca="1">IFERROR(__xludf.DUMMYFUNCTION("GOOGLEFINANCE(""NSE:""&amp;A152,""closeyest"")"),826.65)</f>
        <v>826.65</v>
      </c>
      <c r="G152" s="14">
        <f t="shared" ca="1" si="40"/>
        <v>9.8772822508231065E-3</v>
      </c>
      <c r="H152" s="13">
        <f ca="1">IFERROR(__xludf.DUMMYFUNCTION("GOOGLEFINANCE(""NSE:""&amp;A152,""VOLUME"")"),2652196)</f>
        <v>2652196</v>
      </c>
      <c r="I152" s="13" t="str">
        <f ca="1">IFERROR(__xludf.DUMMYFUNCTION("AVERAGE(index(GOOGLEFINANCE(""NSE:""&amp;$A152, ""volume"", today()-21, today()-1), , 2))"),"#N/A")</f>
        <v>#N/A</v>
      </c>
      <c r="J152" s="14" t="e">
        <f t="shared" ca="1" si="41"/>
        <v>#VALUE!</v>
      </c>
      <c r="K152" s="13" t="str">
        <f ca="1">IFERROR(__xludf.DUMMYFUNCTION("AVERAGE(index(GOOGLEFINANCE(""NSE:""&amp;$A152, ""close"", today()-6, today()-1), , 2))"),"#N/A")</f>
        <v>#N/A</v>
      </c>
      <c r="L152" s="13" t="str">
        <f ca="1">IFERROR(__xludf.DUMMYFUNCTION("AVERAGE(index(GOOGLEFINANCE(""NSE:""&amp;$A152, ""close"", today()-14, today()-1), , 2))"),"#N/A")</f>
        <v>#N/A</v>
      </c>
      <c r="M152" s="13" t="str">
        <f ca="1">IFERROR(__xludf.DUMMYFUNCTION("AVERAGE(index(GOOGLEFINANCE(""NSE:""&amp;$A152, ""close"", today()-22, today()-1), , 2))"),"#N/A")</f>
        <v>#N/A</v>
      </c>
      <c r="N152" s="13" t="str">
        <f t="shared" ca="1" si="42"/>
        <v>No_Action</v>
      </c>
      <c r="O152" s="13" t="str">
        <f t="shared" ca="1" si="43"/>
        <v>No_Action</v>
      </c>
      <c r="P152" s="13" t="str">
        <f t="shared" ca="1" si="44"/>
        <v>No_Action</v>
      </c>
      <c r="Q152" s="13" t="str">
        <f t="shared" ca="1" si="45"/>
        <v>No_Action</v>
      </c>
      <c r="R152" s="15"/>
      <c r="S152" s="15" t="str">
        <f t="shared" ca="1" si="46"/>
        <v>NoNo</v>
      </c>
      <c r="T152" s="15"/>
      <c r="U152" s="15">
        <f t="shared" ca="1" si="47"/>
        <v>0</v>
      </c>
      <c r="V152" s="15">
        <f t="shared" ca="1" si="48"/>
        <v>0</v>
      </c>
      <c r="W152" s="15" t="str">
        <f t="shared" ca="1" si="49"/>
        <v>No_Action</v>
      </c>
      <c r="X152" s="15"/>
      <c r="Y152" s="15" t="str">
        <f t="shared" ca="1" si="50"/>
        <v>No_Action</v>
      </c>
      <c r="Z152" s="15">
        <f t="shared" ca="1" si="51"/>
        <v>0</v>
      </c>
      <c r="AA152" s="15">
        <f t="shared" ca="1" si="52"/>
        <v>0</v>
      </c>
      <c r="AB152" s="15"/>
      <c r="AC152" s="15" t="str">
        <f t="shared" ca="1" si="53"/>
        <v>NoNo</v>
      </c>
      <c r="AD152" s="15"/>
      <c r="AE152" s="15">
        <f t="shared" ca="1" si="54"/>
        <v>0</v>
      </c>
      <c r="AF152" s="16">
        <f t="shared" ca="1" si="55"/>
        <v>0</v>
      </c>
      <c r="AG152" s="16" t="str">
        <f t="shared" ca="1" si="56"/>
        <v>No_Action</v>
      </c>
      <c r="AH152" s="15"/>
      <c r="AI152" s="15" t="str">
        <f t="shared" ca="1" si="57"/>
        <v>No_Action</v>
      </c>
      <c r="AJ152" s="15">
        <f t="shared" ca="1" si="58"/>
        <v>0</v>
      </c>
      <c r="AK152" s="15">
        <f t="shared" ca="1" si="59"/>
        <v>0</v>
      </c>
    </row>
    <row r="153" spans="1:37" ht="14.5" customHeight="1" x14ac:dyDescent="0.35">
      <c r="A153" s="12" t="s">
        <v>169</v>
      </c>
      <c r="B153" s="13">
        <f ca="1">IFERROR(__xludf.DUMMYFUNCTION("GOOGLEFINANCE(""NSE:""&amp;A153,""PRICE"")"),965)</f>
        <v>965</v>
      </c>
      <c r="C153" s="13">
        <f ca="1">IFERROR(__xludf.DUMMYFUNCTION("GOOGLEFINANCE(""NSE:""&amp;A153,""PRICEOPEN"")"),945.95)</f>
        <v>945.95</v>
      </c>
      <c r="D153" s="13">
        <f ca="1">IFERROR(__xludf.DUMMYFUNCTION("GOOGLEFINANCE(""NSE:""&amp;A153,""HIGH"")"),991.95)</f>
        <v>991.95</v>
      </c>
      <c r="E153" s="13">
        <f ca="1">IFERROR(__xludf.DUMMYFUNCTION("GOOGLEFINANCE(""NSE:""&amp;A153,""LOW"")"),939.05)</f>
        <v>939.05</v>
      </c>
      <c r="F153" s="13">
        <f ca="1">IFERROR(__xludf.DUMMYFUNCTION("GOOGLEFINANCE(""NSE:""&amp;A153,""closeyest"")"),938.2)</f>
        <v>938.2</v>
      </c>
      <c r="G153" s="14">
        <f t="shared" ca="1" si="40"/>
        <v>1.9740932642487E-2</v>
      </c>
      <c r="H153" s="13">
        <f ca="1">IFERROR(__xludf.DUMMYFUNCTION("GOOGLEFINANCE(""NSE:""&amp;A153,""VOLUME"")"),236800)</f>
        <v>236800</v>
      </c>
      <c r="I153" s="13" t="str">
        <f ca="1">IFERROR(__xludf.DUMMYFUNCTION("AVERAGE(index(GOOGLEFINANCE(""NSE:""&amp;$A153, ""volume"", today()-21, today()-1), , 2))"),"#N/A")</f>
        <v>#N/A</v>
      </c>
      <c r="J153" s="14" t="e">
        <f t="shared" ca="1" si="41"/>
        <v>#VALUE!</v>
      </c>
      <c r="K153" s="13" t="str">
        <f ca="1">IFERROR(__xludf.DUMMYFUNCTION("AVERAGE(index(GOOGLEFINANCE(""NSE:""&amp;$A153, ""close"", today()-6, today()-1), , 2))"),"#N/A")</f>
        <v>#N/A</v>
      </c>
      <c r="L153" s="13" t="str">
        <f ca="1">IFERROR(__xludf.DUMMYFUNCTION("AVERAGE(index(GOOGLEFINANCE(""NSE:""&amp;$A153, ""close"", today()-14, today()-1), , 2))"),"#N/A")</f>
        <v>#N/A</v>
      </c>
      <c r="M153" s="13" t="str">
        <f ca="1">IFERROR(__xludf.DUMMYFUNCTION("AVERAGE(index(GOOGLEFINANCE(""NSE:""&amp;$A153, ""close"", today()-22, today()-1), , 2))"),"#N/A")</f>
        <v>#N/A</v>
      </c>
      <c r="N153" s="13" t="str">
        <f t="shared" ca="1" si="42"/>
        <v>No_Action</v>
      </c>
      <c r="O153" s="13" t="str">
        <f t="shared" ca="1" si="43"/>
        <v>No_Action</v>
      </c>
      <c r="P153" s="13" t="str">
        <f t="shared" ca="1" si="44"/>
        <v>No_Action</v>
      </c>
      <c r="Q153" s="13" t="str">
        <f t="shared" ca="1" si="45"/>
        <v>No_Action</v>
      </c>
      <c r="R153" s="15"/>
      <c r="S153" s="15" t="str">
        <f t="shared" ca="1" si="46"/>
        <v>NoNo</v>
      </c>
      <c r="T153" s="15"/>
      <c r="U153" s="15">
        <f t="shared" ca="1" si="47"/>
        <v>0</v>
      </c>
      <c r="V153" s="15">
        <f t="shared" ca="1" si="48"/>
        <v>0</v>
      </c>
      <c r="W153" s="15" t="str">
        <f t="shared" ca="1" si="49"/>
        <v>No_Action</v>
      </c>
      <c r="X153" s="15"/>
      <c r="Y153" s="15" t="str">
        <f t="shared" ca="1" si="50"/>
        <v>No_Action</v>
      </c>
      <c r="Z153" s="15">
        <f t="shared" ca="1" si="51"/>
        <v>0</v>
      </c>
      <c r="AA153" s="15">
        <f t="shared" ca="1" si="52"/>
        <v>0</v>
      </c>
      <c r="AB153" s="15"/>
      <c r="AC153" s="15" t="str">
        <f t="shared" ca="1" si="53"/>
        <v>NoNo</v>
      </c>
      <c r="AD153" s="15"/>
      <c r="AE153" s="15">
        <f t="shared" ca="1" si="54"/>
        <v>0</v>
      </c>
      <c r="AF153" s="16">
        <f t="shared" ca="1" si="55"/>
        <v>0</v>
      </c>
      <c r="AG153" s="16" t="str">
        <f t="shared" ca="1" si="56"/>
        <v>No_Action</v>
      </c>
      <c r="AH153" s="15"/>
      <c r="AI153" s="15" t="str">
        <f t="shared" ca="1" si="57"/>
        <v>No_Action</v>
      </c>
      <c r="AJ153" s="15">
        <f t="shared" ca="1" si="58"/>
        <v>0</v>
      </c>
      <c r="AK153" s="15">
        <f t="shared" ca="1" si="59"/>
        <v>0</v>
      </c>
    </row>
    <row r="154" spans="1:37" ht="14.5" customHeight="1" x14ac:dyDescent="0.35">
      <c r="A154" s="12" t="s">
        <v>170</v>
      </c>
      <c r="B154" s="13">
        <f ca="1">IFERROR(__xludf.DUMMYFUNCTION("GOOGLEFINANCE(""NSE:""&amp;A154,""PRICE"")"),394)</f>
        <v>394</v>
      </c>
      <c r="C154" s="13">
        <f ca="1">IFERROR(__xludf.DUMMYFUNCTION("GOOGLEFINANCE(""NSE:""&amp;A154,""PRICEOPEN"")"),344)</f>
        <v>344</v>
      </c>
      <c r="D154" s="13">
        <f ca="1">IFERROR(__xludf.DUMMYFUNCTION("GOOGLEFINANCE(""NSE:""&amp;A154,""HIGH"")"),395.7)</f>
        <v>395.7</v>
      </c>
      <c r="E154" s="13">
        <f ca="1">IFERROR(__xludf.DUMMYFUNCTION("GOOGLEFINANCE(""NSE:""&amp;A154,""LOW"")"),344)</f>
        <v>344</v>
      </c>
      <c r="F154" s="13">
        <f ca="1">IFERROR(__xludf.DUMMYFUNCTION("GOOGLEFINANCE(""NSE:""&amp;A154,""closeyest"")"),341.45)</f>
        <v>341.45</v>
      </c>
      <c r="G154" s="14">
        <f t="shared" ca="1" si="40"/>
        <v>0.12690355329949238</v>
      </c>
      <c r="H154" s="13">
        <f ca="1">IFERROR(__xludf.DUMMYFUNCTION("GOOGLEFINANCE(""NSE:""&amp;A154,""VOLUME"")"),2919353)</f>
        <v>2919353</v>
      </c>
      <c r="I154" s="13" t="str">
        <f ca="1">IFERROR(__xludf.DUMMYFUNCTION("AVERAGE(index(GOOGLEFINANCE(""NSE:""&amp;$A154, ""volume"", today()-21, today()-1), , 2))"),"#N/A")</f>
        <v>#N/A</v>
      </c>
      <c r="J154" s="14" t="e">
        <f t="shared" ca="1" si="41"/>
        <v>#VALUE!</v>
      </c>
      <c r="K154" s="13" t="str">
        <f ca="1">IFERROR(__xludf.DUMMYFUNCTION("AVERAGE(index(GOOGLEFINANCE(""NSE:""&amp;$A154, ""close"", today()-6, today()-1), , 2))"),"#N/A")</f>
        <v>#N/A</v>
      </c>
      <c r="L154" s="13" t="str">
        <f ca="1">IFERROR(__xludf.DUMMYFUNCTION("AVERAGE(index(GOOGLEFINANCE(""NSE:""&amp;$A154, ""close"", today()-14, today()-1), , 2))"),"#N/A")</f>
        <v>#N/A</v>
      </c>
      <c r="M154" s="13" t="str">
        <f ca="1">IFERROR(__xludf.DUMMYFUNCTION("AVERAGE(index(GOOGLEFINANCE(""NSE:""&amp;$A154, ""close"", today()-22, today()-1), , 2))"),"#N/A")</f>
        <v>#N/A</v>
      </c>
      <c r="N154" s="13" t="str">
        <f t="shared" ca="1" si="42"/>
        <v>No_Action</v>
      </c>
      <c r="O154" s="13" t="str">
        <f t="shared" ca="1" si="43"/>
        <v>No_Action</v>
      </c>
      <c r="P154" s="13" t="str">
        <f t="shared" ca="1" si="44"/>
        <v>No_Action</v>
      </c>
      <c r="Q154" s="13" t="str">
        <f t="shared" ca="1" si="45"/>
        <v>No_Action</v>
      </c>
      <c r="R154" s="15"/>
      <c r="S154" s="15" t="str">
        <f t="shared" ca="1" si="46"/>
        <v>NoNo</v>
      </c>
      <c r="T154" s="15"/>
      <c r="U154" s="15">
        <f t="shared" ca="1" si="47"/>
        <v>0</v>
      </c>
      <c r="V154" s="15">
        <f t="shared" ca="1" si="48"/>
        <v>0</v>
      </c>
      <c r="W154" s="15" t="str">
        <f t="shared" ca="1" si="49"/>
        <v>No_Action</v>
      </c>
      <c r="X154" s="15"/>
      <c r="Y154" s="15" t="str">
        <f t="shared" ca="1" si="50"/>
        <v>No_Action</v>
      </c>
      <c r="Z154" s="15">
        <f t="shared" ca="1" si="51"/>
        <v>0</v>
      </c>
      <c r="AA154" s="15">
        <f t="shared" ca="1" si="52"/>
        <v>0</v>
      </c>
      <c r="AB154" s="15"/>
      <c r="AC154" s="15" t="str">
        <f t="shared" ca="1" si="53"/>
        <v>NoNo</v>
      </c>
      <c r="AD154" s="15"/>
      <c r="AE154" s="15">
        <f t="shared" ca="1" si="54"/>
        <v>0</v>
      </c>
      <c r="AF154" s="16">
        <f t="shared" ca="1" si="55"/>
        <v>0</v>
      </c>
      <c r="AG154" s="16" t="str">
        <f t="shared" ca="1" si="56"/>
        <v>No_Action</v>
      </c>
      <c r="AH154" s="15"/>
      <c r="AI154" s="15" t="str">
        <f t="shared" ca="1" si="57"/>
        <v>No_Action</v>
      </c>
      <c r="AJ154" s="15">
        <f t="shared" ca="1" si="58"/>
        <v>0</v>
      </c>
      <c r="AK154" s="15">
        <f t="shared" ca="1" si="59"/>
        <v>0</v>
      </c>
    </row>
    <row r="155" spans="1:37" ht="14.5" customHeight="1" x14ac:dyDescent="0.35">
      <c r="A155" s="12" t="s">
        <v>171</v>
      </c>
      <c r="B155" s="13">
        <f ca="1">IFERROR(__xludf.DUMMYFUNCTION("GOOGLEFINANCE(""NSE:""&amp;A155,""PRICE"")"),386.65)</f>
        <v>386.65</v>
      </c>
      <c r="C155" s="13">
        <f ca="1">IFERROR(__xludf.DUMMYFUNCTION("GOOGLEFINANCE(""NSE:""&amp;A155,""PRICEOPEN"")"),387)</f>
        <v>387</v>
      </c>
      <c r="D155" s="13">
        <f ca="1">IFERROR(__xludf.DUMMYFUNCTION("GOOGLEFINANCE(""NSE:""&amp;A155,""HIGH"")"),389.65)</f>
        <v>389.65</v>
      </c>
      <c r="E155" s="13">
        <f ca="1">IFERROR(__xludf.DUMMYFUNCTION("GOOGLEFINANCE(""NSE:""&amp;A155,""LOW"")"),377.7)</f>
        <v>377.7</v>
      </c>
      <c r="F155" s="13">
        <f ca="1">IFERROR(__xludf.DUMMYFUNCTION("GOOGLEFINANCE(""NSE:""&amp;A155,""closeyest"")"),384)</f>
        <v>384</v>
      </c>
      <c r="G155" s="14">
        <f t="shared" ca="1" si="40"/>
        <v>-9.052114315272799E-4</v>
      </c>
      <c r="H155" s="13">
        <f ca="1">IFERROR(__xludf.DUMMYFUNCTION("GOOGLEFINANCE(""NSE:""&amp;A155,""VOLUME"")"),4426139)</f>
        <v>4426139</v>
      </c>
      <c r="I155" s="13" t="str">
        <f ca="1">IFERROR(__xludf.DUMMYFUNCTION("AVERAGE(index(GOOGLEFINANCE(""NSE:""&amp;$A155, ""volume"", today()-21, today()-1), , 2))"),"#N/A")</f>
        <v>#N/A</v>
      </c>
      <c r="J155" s="14" t="e">
        <f t="shared" ca="1" si="41"/>
        <v>#VALUE!</v>
      </c>
      <c r="K155" s="13" t="str">
        <f ca="1">IFERROR(__xludf.DUMMYFUNCTION("AVERAGE(index(GOOGLEFINANCE(""NSE:""&amp;$A155, ""close"", today()-6, today()-1), , 2))"),"#N/A")</f>
        <v>#N/A</v>
      </c>
      <c r="L155" s="13" t="str">
        <f ca="1">IFERROR(__xludf.DUMMYFUNCTION("AVERAGE(index(GOOGLEFINANCE(""NSE:""&amp;$A155, ""close"", today()-14, today()-1), , 2))"),"#N/A")</f>
        <v>#N/A</v>
      </c>
      <c r="M155" s="13" t="str">
        <f ca="1">IFERROR(__xludf.DUMMYFUNCTION("AVERAGE(index(GOOGLEFINANCE(""NSE:""&amp;$A155, ""close"", today()-22, today()-1), , 2))"),"#N/A")</f>
        <v>#N/A</v>
      </c>
      <c r="N155" s="13" t="str">
        <f t="shared" ca="1" si="42"/>
        <v>No_Action</v>
      </c>
      <c r="O155" s="13" t="str">
        <f t="shared" ca="1" si="43"/>
        <v>No_Action</v>
      </c>
      <c r="P155" s="13" t="str">
        <f t="shared" ca="1" si="44"/>
        <v>No_Action</v>
      </c>
      <c r="Q155" s="13" t="str">
        <f t="shared" ca="1" si="45"/>
        <v>No_Action</v>
      </c>
      <c r="R155" s="15"/>
      <c r="S155" s="15" t="str">
        <f t="shared" ca="1" si="46"/>
        <v>NoNo</v>
      </c>
      <c r="T155" s="15"/>
      <c r="U155" s="15">
        <f t="shared" ca="1" si="47"/>
        <v>0</v>
      </c>
      <c r="V155" s="15">
        <f t="shared" ca="1" si="48"/>
        <v>0</v>
      </c>
      <c r="W155" s="15" t="str">
        <f t="shared" ca="1" si="49"/>
        <v>No_Action</v>
      </c>
      <c r="X155" s="15"/>
      <c r="Y155" s="15" t="str">
        <f t="shared" ca="1" si="50"/>
        <v>No_Action</v>
      </c>
      <c r="Z155" s="15">
        <f t="shared" ca="1" si="51"/>
        <v>0</v>
      </c>
      <c r="AA155" s="15">
        <f t="shared" ca="1" si="52"/>
        <v>0</v>
      </c>
      <c r="AB155" s="15"/>
      <c r="AC155" s="15" t="str">
        <f t="shared" ca="1" si="53"/>
        <v>NoNo</v>
      </c>
      <c r="AD155" s="15"/>
      <c r="AE155" s="15">
        <f t="shared" ca="1" si="54"/>
        <v>0</v>
      </c>
      <c r="AF155" s="16">
        <f t="shared" ca="1" si="55"/>
        <v>0</v>
      </c>
      <c r="AG155" s="16" t="str">
        <f t="shared" ca="1" si="56"/>
        <v>No_Action</v>
      </c>
      <c r="AH155" s="15"/>
      <c r="AI155" s="15" t="str">
        <f t="shared" ca="1" si="57"/>
        <v>No_Action</v>
      </c>
      <c r="AJ155" s="15">
        <f t="shared" ca="1" si="58"/>
        <v>0</v>
      </c>
      <c r="AK155" s="15">
        <f t="shared" ca="1" si="59"/>
        <v>0</v>
      </c>
    </row>
    <row r="156" spans="1:37" ht="14.5" customHeight="1" x14ac:dyDescent="0.35">
      <c r="A156" s="12" t="s">
        <v>172</v>
      </c>
      <c r="B156" s="13">
        <f ca="1">IFERROR(__xludf.DUMMYFUNCTION("GOOGLEFINANCE(""NSE:""&amp;A156,""PRICE"")"),361.75)</f>
        <v>361.75</v>
      </c>
      <c r="C156" s="13">
        <f ca="1">IFERROR(__xludf.DUMMYFUNCTION("GOOGLEFINANCE(""NSE:""&amp;A156,""PRICEOPEN"")"),364.75)</f>
        <v>364.75</v>
      </c>
      <c r="D156" s="13">
        <f ca="1">IFERROR(__xludf.DUMMYFUNCTION("GOOGLEFINANCE(""NSE:""&amp;A156,""HIGH"")"),366.8)</f>
        <v>366.8</v>
      </c>
      <c r="E156" s="13">
        <f ca="1">IFERROR(__xludf.DUMMYFUNCTION("GOOGLEFINANCE(""NSE:""&amp;A156,""LOW"")"),358.95)</f>
        <v>358.95</v>
      </c>
      <c r="F156" s="13">
        <f ca="1">IFERROR(__xludf.DUMMYFUNCTION("GOOGLEFINANCE(""NSE:""&amp;A156,""closeyest"")"),364.65)</f>
        <v>364.65</v>
      </c>
      <c r="G156" s="14">
        <f t="shared" ca="1" si="40"/>
        <v>-8.2930200414651004E-3</v>
      </c>
      <c r="H156" s="13">
        <f ca="1">IFERROR(__xludf.DUMMYFUNCTION("GOOGLEFINANCE(""NSE:""&amp;A156,""VOLUME"")"),14327412)</f>
        <v>14327412</v>
      </c>
      <c r="I156" s="13" t="str">
        <f ca="1">IFERROR(__xludf.DUMMYFUNCTION("AVERAGE(index(GOOGLEFINANCE(""NSE:""&amp;$A156, ""volume"", today()-21, today()-1), , 2))"),"#N/A")</f>
        <v>#N/A</v>
      </c>
      <c r="J156" s="14" t="e">
        <f t="shared" ca="1" si="41"/>
        <v>#VALUE!</v>
      </c>
      <c r="K156" s="13" t="str">
        <f ca="1">IFERROR(__xludf.DUMMYFUNCTION("AVERAGE(index(GOOGLEFINANCE(""NSE:""&amp;$A156, ""close"", today()-6, today()-1), , 2))"),"#N/A")</f>
        <v>#N/A</v>
      </c>
      <c r="L156" s="13" t="str">
        <f ca="1">IFERROR(__xludf.DUMMYFUNCTION("AVERAGE(index(GOOGLEFINANCE(""NSE:""&amp;$A156, ""close"", today()-14, today()-1), , 2))"),"#N/A")</f>
        <v>#N/A</v>
      </c>
      <c r="M156" s="13" t="str">
        <f ca="1">IFERROR(__xludf.DUMMYFUNCTION("AVERAGE(index(GOOGLEFINANCE(""NSE:""&amp;$A156, ""close"", today()-22, today()-1), , 2))"),"#N/A")</f>
        <v>#N/A</v>
      </c>
      <c r="N156" s="13" t="str">
        <f t="shared" ca="1" si="42"/>
        <v>No_Action</v>
      </c>
      <c r="O156" s="13" t="str">
        <f t="shared" ca="1" si="43"/>
        <v>No_Action</v>
      </c>
      <c r="P156" s="13" t="str">
        <f t="shared" ca="1" si="44"/>
        <v>No_Action</v>
      </c>
      <c r="Q156" s="13" t="str">
        <f t="shared" ca="1" si="45"/>
        <v>No_Action</v>
      </c>
      <c r="R156" s="15"/>
      <c r="S156" s="15" t="str">
        <f t="shared" ca="1" si="46"/>
        <v>NoNo</v>
      </c>
      <c r="T156" s="15"/>
      <c r="U156" s="15">
        <f t="shared" ca="1" si="47"/>
        <v>0</v>
      </c>
      <c r="V156" s="15">
        <f t="shared" ca="1" si="48"/>
        <v>0</v>
      </c>
      <c r="W156" s="15" t="str">
        <f t="shared" ca="1" si="49"/>
        <v>No_Action</v>
      </c>
      <c r="X156" s="15"/>
      <c r="Y156" s="15" t="str">
        <f t="shared" ca="1" si="50"/>
        <v>No_Action</v>
      </c>
      <c r="Z156" s="15">
        <f t="shared" ca="1" si="51"/>
        <v>0</v>
      </c>
      <c r="AA156" s="15">
        <f t="shared" ca="1" si="52"/>
        <v>0</v>
      </c>
      <c r="AB156" s="15"/>
      <c r="AC156" s="15" t="str">
        <f t="shared" ca="1" si="53"/>
        <v>NoNo</v>
      </c>
      <c r="AD156" s="15"/>
      <c r="AE156" s="15">
        <f t="shared" ca="1" si="54"/>
        <v>0</v>
      </c>
      <c r="AF156" s="16">
        <f t="shared" ca="1" si="55"/>
        <v>0</v>
      </c>
      <c r="AG156" s="16" t="str">
        <f t="shared" ca="1" si="56"/>
        <v>No_Action</v>
      </c>
      <c r="AH156" s="15"/>
      <c r="AI156" s="15" t="str">
        <f t="shared" ca="1" si="57"/>
        <v>No_Action</v>
      </c>
      <c r="AJ156" s="15">
        <f t="shared" ca="1" si="58"/>
        <v>0</v>
      </c>
      <c r="AK156" s="15">
        <f t="shared" ca="1" si="59"/>
        <v>0</v>
      </c>
    </row>
    <row r="157" spans="1:37" ht="14.5" customHeight="1" x14ac:dyDescent="0.35">
      <c r="A157" s="12" t="s">
        <v>173</v>
      </c>
      <c r="B157" s="13">
        <f ca="1">IFERROR(__xludf.DUMMYFUNCTION("GOOGLEFINANCE(""NSE:""&amp;A157,""PRICE"")"),383.5)</f>
        <v>383.5</v>
      </c>
      <c r="C157" s="13">
        <f ca="1">IFERROR(__xludf.DUMMYFUNCTION("GOOGLEFINANCE(""NSE:""&amp;A157,""PRICEOPEN"")"),389.05)</f>
        <v>389.05</v>
      </c>
      <c r="D157" s="13">
        <f ca="1">IFERROR(__xludf.DUMMYFUNCTION("GOOGLEFINANCE(""NSE:""&amp;A157,""HIGH"")"),392)</f>
        <v>392</v>
      </c>
      <c r="E157" s="13">
        <f ca="1">IFERROR(__xludf.DUMMYFUNCTION("GOOGLEFINANCE(""NSE:""&amp;A157,""LOW"")"),381.1)</f>
        <v>381.1</v>
      </c>
      <c r="F157" s="13">
        <f ca="1">IFERROR(__xludf.DUMMYFUNCTION("GOOGLEFINANCE(""NSE:""&amp;A157,""closeyest"")"),388.85)</f>
        <v>388.85</v>
      </c>
      <c r="G157" s="14">
        <f t="shared" ca="1" si="40"/>
        <v>-1.4471968709256874E-2</v>
      </c>
      <c r="H157" s="13">
        <f ca="1">IFERROR(__xludf.DUMMYFUNCTION("GOOGLEFINANCE(""NSE:""&amp;A157,""VOLUME"")"),152378)</f>
        <v>152378</v>
      </c>
      <c r="I157" s="13" t="str">
        <f ca="1">IFERROR(__xludf.DUMMYFUNCTION("AVERAGE(index(GOOGLEFINANCE(""NSE:""&amp;$A157, ""volume"", today()-21, today()-1), , 2))"),"#N/A")</f>
        <v>#N/A</v>
      </c>
      <c r="J157" s="14" t="e">
        <f t="shared" ca="1" si="41"/>
        <v>#VALUE!</v>
      </c>
      <c r="K157" s="13" t="str">
        <f ca="1">IFERROR(__xludf.DUMMYFUNCTION("AVERAGE(index(GOOGLEFINANCE(""NSE:""&amp;$A157, ""close"", today()-6, today()-1), , 2))"),"#N/A")</f>
        <v>#N/A</v>
      </c>
      <c r="L157" s="13" t="str">
        <f ca="1">IFERROR(__xludf.DUMMYFUNCTION("AVERAGE(index(GOOGLEFINANCE(""NSE:""&amp;$A157, ""close"", today()-14, today()-1), , 2))"),"#N/A")</f>
        <v>#N/A</v>
      </c>
      <c r="M157" s="13" t="str">
        <f ca="1">IFERROR(__xludf.DUMMYFUNCTION("AVERAGE(index(GOOGLEFINANCE(""NSE:""&amp;$A157, ""close"", today()-22, today()-1), , 2))"),"#N/A")</f>
        <v>#N/A</v>
      </c>
      <c r="N157" s="13" t="str">
        <f t="shared" ca="1" si="42"/>
        <v>No_Action</v>
      </c>
      <c r="O157" s="13" t="str">
        <f t="shared" ca="1" si="43"/>
        <v>No_Action</v>
      </c>
      <c r="P157" s="13" t="str">
        <f t="shared" ca="1" si="44"/>
        <v>No_Action</v>
      </c>
      <c r="Q157" s="13" t="str">
        <f t="shared" ca="1" si="45"/>
        <v>No_Action</v>
      </c>
      <c r="R157" s="15"/>
      <c r="S157" s="15" t="str">
        <f t="shared" ca="1" si="46"/>
        <v>NoNo</v>
      </c>
      <c r="T157" s="15"/>
      <c r="U157" s="15">
        <f t="shared" ca="1" si="47"/>
        <v>0</v>
      </c>
      <c r="V157" s="15">
        <f t="shared" ca="1" si="48"/>
        <v>0</v>
      </c>
      <c r="W157" s="15" t="str">
        <f t="shared" ca="1" si="49"/>
        <v>No_Action</v>
      </c>
      <c r="X157" s="15"/>
      <c r="Y157" s="15" t="str">
        <f t="shared" ca="1" si="50"/>
        <v>No_Action</v>
      </c>
      <c r="Z157" s="15">
        <f t="shared" ca="1" si="51"/>
        <v>0</v>
      </c>
      <c r="AA157" s="15">
        <f t="shared" ca="1" si="52"/>
        <v>0</v>
      </c>
      <c r="AB157" s="15"/>
      <c r="AC157" s="15" t="str">
        <f t="shared" ca="1" si="53"/>
        <v>NoNo</v>
      </c>
      <c r="AD157" s="15"/>
      <c r="AE157" s="15">
        <f t="shared" ca="1" si="54"/>
        <v>0</v>
      </c>
      <c r="AF157" s="16">
        <f t="shared" ca="1" si="55"/>
        <v>0</v>
      </c>
      <c r="AG157" s="16" t="str">
        <f t="shared" ca="1" si="56"/>
        <v>No_Action</v>
      </c>
      <c r="AH157" s="15"/>
      <c r="AI157" s="15" t="str">
        <f t="shared" ca="1" si="57"/>
        <v>No_Action</v>
      </c>
      <c r="AJ157" s="15">
        <f t="shared" ca="1" si="58"/>
        <v>0</v>
      </c>
      <c r="AK157" s="15">
        <f t="shared" ca="1" si="59"/>
        <v>0</v>
      </c>
    </row>
    <row r="158" spans="1:37" ht="14.5" customHeight="1" x14ac:dyDescent="0.35">
      <c r="A158" s="12" t="s">
        <v>174</v>
      </c>
      <c r="B158" s="13">
        <f ca="1">IFERROR(__xludf.DUMMYFUNCTION("GOOGLEFINANCE(""NSE:""&amp;A158,""PRICE"")"),719.1)</f>
        <v>719.1</v>
      </c>
      <c r="C158" s="13">
        <f ca="1">IFERROR(__xludf.DUMMYFUNCTION("GOOGLEFINANCE(""NSE:""&amp;A158,""PRICEOPEN"")"),716.9)</f>
        <v>716.9</v>
      </c>
      <c r="D158" s="13">
        <f ca="1">IFERROR(__xludf.DUMMYFUNCTION("GOOGLEFINANCE(""NSE:""&amp;A158,""HIGH"")"),731.2)</f>
        <v>731.2</v>
      </c>
      <c r="E158" s="13">
        <f ca="1">IFERROR(__xludf.DUMMYFUNCTION("GOOGLEFINANCE(""NSE:""&amp;A158,""LOW"")"),709.4)</f>
        <v>709.4</v>
      </c>
      <c r="F158" s="13">
        <f ca="1">IFERROR(__xludf.DUMMYFUNCTION("GOOGLEFINANCE(""NSE:""&amp;A158,""closeyest"")"),715.4)</f>
        <v>715.4</v>
      </c>
      <c r="G158" s="14">
        <f t="shared" ca="1" si="40"/>
        <v>3.0593797802809697E-3</v>
      </c>
      <c r="H158" s="13">
        <f ca="1">IFERROR(__xludf.DUMMYFUNCTION("GOOGLEFINANCE(""NSE:""&amp;A158,""VOLUME"")"),387809)</f>
        <v>387809</v>
      </c>
      <c r="I158" s="13" t="str">
        <f ca="1">IFERROR(__xludf.DUMMYFUNCTION("AVERAGE(index(GOOGLEFINANCE(""NSE:""&amp;$A158, ""volume"", today()-21, today()-1), , 2))"),"#N/A")</f>
        <v>#N/A</v>
      </c>
      <c r="J158" s="14" t="e">
        <f t="shared" ca="1" si="41"/>
        <v>#VALUE!</v>
      </c>
      <c r="K158" s="13" t="str">
        <f ca="1">IFERROR(__xludf.DUMMYFUNCTION("AVERAGE(index(GOOGLEFINANCE(""NSE:""&amp;$A158, ""close"", today()-6, today()-1), , 2))"),"#N/A")</f>
        <v>#N/A</v>
      </c>
      <c r="L158" s="13" t="str">
        <f ca="1">IFERROR(__xludf.DUMMYFUNCTION("AVERAGE(index(GOOGLEFINANCE(""NSE:""&amp;$A158, ""close"", today()-14, today()-1), , 2))"),"#N/A")</f>
        <v>#N/A</v>
      </c>
      <c r="M158" s="13" t="str">
        <f ca="1">IFERROR(__xludf.DUMMYFUNCTION("AVERAGE(index(GOOGLEFINANCE(""NSE:""&amp;$A158, ""close"", today()-22, today()-1), , 2))"),"#N/A")</f>
        <v>#N/A</v>
      </c>
      <c r="N158" s="13" t="str">
        <f t="shared" ca="1" si="42"/>
        <v>No_Action</v>
      </c>
      <c r="O158" s="13" t="str">
        <f t="shared" ca="1" si="43"/>
        <v>No_Action</v>
      </c>
      <c r="P158" s="13" t="str">
        <f t="shared" ca="1" si="44"/>
        <v>No_Action</v>
      </c>
      <c r="Q158" s="13" t="str">
        <f t="shared" ca="1" si="45"/>
        <v>No_Action</v>
      </c>
      <c r="R158" s="15"/>
      <c r="S158" s="15" t="str">
        <f t="shared" ca="1" si="46"/>
        <v>NoNo</v>
      </c>
      <c r="T158" s="15"/>
      <c r="U158" s="15">
        <f t="shared" ca="1" si="47"/>
        <v>0</v>
      </c>
      <c r="V158" s="15">
        <f t="shared" ca="1" si="48"/>
        <v>0</v>
      </c>
      <c r="W158" s="15" t="str">
        <f t="shared" ca="1" si="49"/>
        <v>No_Action</v>
      </c>
      <c r="X158" s="15"/>
      <c r="Y158" s="15" t="str">
        <f t="shared" ca="1" si="50"/>
        <v>No_Action</v>
      </c>
      <c r="Z158" s="15">
        <f t="shared" ca="1" si="51"/>
        <v>0</v>
      </c>
      <c r="AA158" s="15">
        <f t="shared" ca="1" si="52"/>
        <v>0</v>
      </c>
      <c r="AB158" s="15"/>
      <c r="AC158" s="15" t="str">
        <f t="shared" ca="1" si="53"/>
        <v>NoNo</v>
      </c>
      <c r="AD158" s="15"/>
      <c r="AE158" s="15">
        <f t="shared" ca="1" si="54"/>
        <v>0</v>
      </c>
      <c r="AF158" s="16">
        <f t="shared" ca="1" si="55"/>
        <v>0</v>
      </c>
      <c r="AG158" s="16" t="str">
        <f t="shared" ca="1" si="56"/>
        <v>No_Action</v>
      </c>
      <c r="AH158" s="15"/>
      <c r="AI158" s="15" t="str">
        <f t="shared" ca="1" si="57"/>
        <v>No_Action</v>
      </c>
      <c r="AJ158" s="15">
        <f t="shared" ca="1" si="58"/>
        <v>0</v>
      </c>
      <c r="AK158" s="15">
        <f t="shared" ca="1" si="59"/>
        <v>0</v>
      </c>
    </row>
    <row r="159" spans="1:37" ht="14.5" customHeight="1" x14ac:dyDescent="0.35">
      <c r="A159" s="12" t="s">
        <v>175</v>
      </c>
      <c r="B159" s="13">
        <f ca="1">IFERROR(__xludf.DUMMYFUNCTION("GOOGLEFINANCE(""NSE:""&amp;A159,""PRICE"")"),465.2)</f>
        <v>465.2</v>
      </c>
      <c r="C159" s="13">
        <f ca="1">IFERROR(__xludf.DUMMYFUNCTION("GOOGLEFINANCE(""NSE:""&amp;A159,""PRICEOPEN"")"),471.5)</f>
        <v>471.5</v>
      </c>
      <c r="D159" s="13">
        <f ca="1">IFERROR(__xludf.DUMMYFUNCTION("GOOGLEFINANCE(""NSE:""&amp;A159,""HIGH"")"),472)</f>
        <v>472</v>
      </c>
      <c r="E159" s="13">
        <f ca="1">IFERROR(__xludf.DUMMYFUNCTION("GOOGLEFINANCE(""NSE:""&amp;A159,""LOW"")"),462.95)</f>
        <v>462.95</v>
      </c>
      <c r="F159" s="13">
        <f ca="1">IFERROR(__xludf.DUMMYFUNCTION("GOOGLEFINANCE(""NSE:""&amp;A159,""closeyest"")"),471.15)</f>
        <v>471.15</v>
      </c>
      <c r="G159" s="14">
        <f t="shared" ca="1" si="40"/>
        <v>-1.3542562338779044E-2</v>
      </c>
      <c r="H159" s="13">
        <f ca="1">IFERROR(__xludf.DUMMYFUNCTION("GOOGLEFINANCE(""NSE:""&amp;A159,""VOLUME"")"),11703384)</f>
        <v>11703384</v>
      </c>
      <c r="I159" s="13" t="str">
        <f ca="1">IFERROR(__xludf.DUMMYFUNCTION("AVERAGE(index(GOOGLEFINANCE(""NSE:""&amp;$A159, ""volume"", today()-21, today()-1), , 2))"),"#N/A")</f>
        <v>#N/A</v>
      </c>
      <c r="J159" s="14" t="e">
        <f t="shared" ca="1" si="41"/>
        <v>#VALUE!</v>
      </c>
      <c r="K159" s="13" t="str">
        <f ca="1">IFERROR(__xludf.DUMMYFUNCTION("AVERAGE(index(GOOGLEFINANCE(""NSE:""&amp;$A159, ""close"", today()-6, today()-1), , 2))"),"#N/A")</f>
        <v>#N/A</v>
      </c>
      <c r="L159" s="13" t="str">
        <f ca="1">IFERROR(__xludf.DUMMYFUNCTION("AVERAGE(index(GOOGLEFINANCE(""NSE:""&amp;$A159, ""close"", today()-14, today()-1), , 2))"),"#N/A")</f>
        <v>#N/A</v>
      </c>
      <c r="M159" s="13" t="str">
        <f ca="1">IFERROR(__xludf.DUMMYFUNCTION("AVERAGE(index(GOOGLEFINANCE(""NSE:""&amp;$A159, ""close"", today()-22, today()-1), , 2))"),"#N/A")</f>
        <v>#N/A</v>
      </c>
      <c r="N159" s="13" t="str">
        <f t="shared" ca="1" si="42"/>
        <v>No_Action</v>
      </c>
      <c r="O159" s="13" t="str">
        <f t="shared" ca="1" si="43"/>
        <v>No_Action</v>
      </c>
      <c r="P159" s="13" t="str">
        <f t="shared" ca="1" si="44"/>
        <v>No_Action</v>
      </c>
      <c r="Q159" s="13" t="str">
        <f t="shared" ca="1" si="45"/>
        <v>No_Action</v>
      </c>
      <c r="R159" s="15"/>
      <c r="S159" s="15" t="str">
        <f t="shared" ca="1" si="46"/>
        <v>NoNo</v>
      </c>
      <c r="T159" s="15"/>
      <c r="U159" s="15">
        <f t="shared" ca="1" si="47"/>
        <v>0</v>
      </c>
      <c r="V159" s="15">
        <f t="shared" ca="1" si="48"/>
        <v>0</v>
      </c>
      <c r="W159" s="15" t="str">
        <f t="shared" ca="1" si="49"/>
        <v>No_Action</v>
      </c>
      <c r="X159" s="15"/>
      <c r="Y159" s="15" t="str">
        <f t="shared" ca="1" si="50"/>
        <v>No_Action</v>
      </c>
      <c r="Z159" s="15">
        <f t="shared" ca="1" si="51"/>
        <v>0</v>
      </c>
      <c r="AA159" s="15">
        <f t="shared" ca="1" si="52"/>
        <v>0</v>
      </c>
      <c r="AB159" s="15"/>
      <c r="AC159" s="15" t="str">
        <f t="shared" ca="1" si="53"/>
        <v>NoNo</v>
      </c>
      <c r="AD159" s="15"/>
      <c r="AE159" s="15">
        <f t="shared" ca="1" si="54"/>
        <v>0</v>
      </c>
      <c r="AF159" s="16">
        <f t="shared" ca="1" si="55"/>
        <v>0</v>
      </c>
      <c r="AG159" s="16" t="str">
        <f t="shared" ca="1" si="56"/>
        <v>No_Action</v>
      </c>
      <c r="AH159" s="15"/>
      <c r="AI159" s="15" t="str">
        <f t="shared" ca="1" si="57"/>
        <v>No_Action</v>
      </c>
      <c r="AJ159" s="15">
        <f t="shared" ca="1" si="58"/>
        <v>0</v>
      </c>
      <c r="AK159" s="15">
        <f t="shared" ca="1" si="59"/>
        <v>0</v>
      </c>
    </row>
    <row r="160" spans="1:37" ht="14.5" customHeight="1" x14ac:dyDescent="0.35">
      <c r="A160" s="12" t="s">
        <v>176</v>
      </c>
      <c r="B160" s="13">
        <f ca="1">IFERROR(__xludf.DUMMYFUNCTION("GOOGLEFINANCE(""NSE:""&amp;A160,""PRICE"")"),1780)</f>
        <v>1780</v>
      </c>
      <c r="C160" s="13">
        <f ca="1">IFERROR(__xludf.DUMMYFUNCTION("GOOGLEFINANCE(""NSE:""&amp;A160,""PRICEOPEN"")"),1764)</f>
        <v>1764</v>
      </c>
      <c r="D160" s="13">
        <f ca="1">IFERROR(__xludf.DUMMYFUNCTION("GOOGLEFINANCE(""NSE:""&amp;A160,""HIGH"")"),1796.85)</f>
        <v>1796.85</v>
      </c>
      <c r="E160" s="13">
        <f ca="1">IFERROR(__xludf.DUMMYFUNCTION("GOOGLEFINANCE(""NSE:""&amp;A160,""LOW"")"),1736.55)</f>
        <v>1736.55</v>
      </c>
      <c r="F160" s="13">
        <f ca="1">IFERROR(__xludf.DUMMYFUNCTION("GOOGLEFINANCE(""NSE:""&amp;A160,""closeyest"")"),1763.95)</f>
        <v>1763.95</v>
      </c>
      <c r="G160" s="14">
        <f t="shared" ca="1" si="40"/>
        <v>8.988764044943821E-3</v>
      </c>
      <c r="H160" s="13">
        <f ca="1">IFERROR(__xludf.DUMMYFUNCTION("GOOGLEFINANCE(""NSE:""&amp;A160,""VOLUME"")"),140822)</f>
        <v>140822</v>
      </c>
      <c r="I160" s="13" t="str">
        <f ca="1">IFERROR(__xludf.DUMMYFUNCTION("AVERAGE(index(GOOGLEFINANCE(""NSE:""&amp;$A160, ""volume"", today()-21, today()-1), , 2))"),"#N/A")</f>
        <v>#N/A</v>
      </c>
      <c r="J160" s="14" t="e">
        <f t="shared" ca="1" si="41"/>
        <v>#VALUE!</v>
      </c>
      <c r="K160" s="13" t="str">
        <f ca="1">IFERROR(__xludf.DUMMYFUNCTION("AVERAGE(index(GOOGLEFINANCE(""NSE:""&amp;$A160, ""close"", today()-6, today()-1), , 2))"),"#N/A")</f>
        <v>#N/A</v>
      </c>
      <c r="L160" s="13" t="str">
        <f ca="1">IFERROR(__xludf.DUMMYFUNCTION("AVERAGE(index(GOOGLEFINANCE(""NSE:""&amp;$A160, ""close"", today()-14, today()-1), , 2))"),"#N/A")</f>
        <v>#N/A</v>
      </c>
      <c r="M160" s="13" t="str">
        <f ca="1">IFERROR(__xludf.DUMMYFUNCTION("AVERAGE(index(GOOGLEFINANCE(""NSE:""&amp;$A160, ""close"", today()-22, today()-1), , 2))"),"#N/A")</f>
        <v>#N/A</v>
      </c>
      <c r="N160" s="13" t="str">
        <f t="shared" ca="1" si="42"/>
        <v>No_Action</v>
      </c>
      <c r="O160" s="13" t="str">
        <f t="shared" ca="1" si="43"/>
        <v>No_Action</v>
      </c>
      <c r="P160" s="13" t="str">
        <f t="shared" ca="1" si="44"/>
        <v>No_Action</v>
      </c>
      <c r="Q160" s="13" t="str">
        <f t="shared" ca="1" si="45"/>
        <v>No_Action</v>
      </c>
      <c r="R160" s="15"/>
      <c r="S160" s="15" t="str">
        <f t="shared" ca="1" si="46"/>
        <v>NoNo</v>
      </c>
      <c r="T160" s="15"/>
      <c r="U160" s="15">
        <f t="shared" ca="1" si="47"/>
        <v>0</v>
      </c>
      <c r="V160" s="15">
        <f t="shared" ca="1" si="48"/>
        <v>0</v>
      </c>
      <c r="W160" s="15" t="str">
        <f t="shared" ca="1" si="49"/>
        <v>No_Action</v>
      </c>
      <c r="X160" s="15"/>
      <c r="Y160" s="15" t="str">
        <f t="shared" ca="1" si="50"/>
        <v>No_Action</v>
      </c>
      <c r="Z160" s="15">
        <f t="shared" ca="1" si="51"/>
        <v>0</v>
      </c>
      <c r="AA160" s="15">
        <f t="shared" ca="1" si="52"/>
        <v>0</v>
      </c>
      <c r="AB160" s="15"/>
      <c r="AC160" s="15" t="str">
        <f t="shared" ca="1" si="53"/>
        <v>NoNo</v>
      </c>
      <c r="AD160" s="15"/>
      <c r="AE160" s="15">
        <f t="shared" ca="1" si="54"/>
        <v>0</v>
      </c>
      <c r="AF160" s="16">
        <f t="shared" ca="1" si="55"/>
        <v>0</v>
      </c>
      <c r="AG160" s="16" t="str">
        <f t="shared" ca="1" si="56"/>
        <v>No_Action</v>
      </c>
      <c r="AH160" s="15"/>
      <c r="AI160" s="15" t="str">
        <f t="shared" ca="1" si="57"/>
        <v>No_Action</v>
      </c>
      <c r="AJ160" s="15">
        <f t="shared" ca="1" si="58"/>
        <v>0</v>
      </c>
      <c r="AK160" s="15">
        <f t="shared" ca="1" si="59"/>
        <v>0</v>
      </c>
    </row>
    <row r="161" spans="1:37" ht="14.5" customHeight="1" x14ac:dyDescent="0.35">
      <c r="A161" s="12" t="s">
        <v>177</v>
      </c>
      <c r="B161" s="13">
        <f ca="1">IFERROR(__xludf.DUMMYFUNCTION("GOOGLEFINANCE(""NSE:""&amp;A161,""PRICE"")"),4570)</f>
        <v>4570</v>
      </c>
      <c r="C161" s="13">
        <f ca="1">IFERROR(__xludf.DUMMYFUNCTION("GOOGLEFINANCE(""NSE:""&amp;A161,""PRICEOPEN"")"),4582)</f>
        <v>4582</v>
      </c>
      <c r="D161" s="13">
        <f ca="1">IFERROR(__xludf.DUMMYFUNCTION("GOOGLEFINANCE(""NSE:""&amp;A161,""HIGH"")"),4624.95)</f>
        <v>4624.95</v>
      </c>
      <c r="E161" s="13">
        <f ca="1">IFERROR(__xludf.DUMMYFUNCTION("GOOGLEFINANCE(""NSE:""&amp;A161,""LOW"")"),4542.75)</f>
        <v>4542.75</v>
      </c>
      <c r="F161" s="13">
        <f ca="1">IFERROR(__xludf.DUMMYFUNCTION("GOOGLEFINANCE(""NSE:""&amp;A161,""closeyest"")"),4596.65)</f>
        <v>4596.6499999999996</v>
      </c>
      <c r="G161" s="14">
        <f t="shared" ca="1" si="40"/>
        <v>-2.6258205689277899E-3</v>
      </c>
      <c r="H161" s="13">
        <f ca="1">IFERROR(__xludf.DUMMYFUNCTION("GOOGLEFINANCE(""NSE:""&amp;A161,""VOLUME"")"),24914)</f>
        <v>24914</v>
      </c>
      <c r="I161" s="13" t="str">
        <f ca="1">IFERROR(__xludf.DUMMYFUNCTION("AVERAGE(index(GOOGLEFINANCE(""NSE:""&amp;$A161, ""volume"", today()-21, today()-1), , 2))"),"#N/A")</f>
        <v>#N/A</v>
      </c>
      <c r="J161" s="14" t="e">
        <f t="shared" ca="1" si="41"/>
        <v>#VALUE!</v>
      </c>
      <c r="K161" s="13" t="str">
        <f ca="1">IFERROR(__xludf.DUMMYFUNCTION("AVERAGE(index(GOOGLEFINANCE(""NSE:""&amp;$A161, ""close"", today()-6, today()-1), , 2))"),"#N/A")</f>
        <v>#N/A</v>
      </c>
      <c r="L161" s="13" t="str">
        <f ca="1">IFERROR(__xludf.DUMMYFUNCTION("AVERAGE(index(GOOGLEFINANCE(""NSE:""&amp;$A161, ""close"", today()-14, today()-1), , 2))"),"#N/A")</f>
        <v>#N/A</v>
      </c>
      <c r="M161" s="13" t="str">
        <f ca="1">IFERROR(__xludf.DUMMYFUNCTION("AVERAGE(index(GOOGLEFINANCE(""NSE:""&amp;$A161, ""close"", today()-22, today()-1), , 2))"),"#N/A")</f>
        <v>#N/A</v>
      </c>
      <c r="N161" s="13" t="str">
        <f t="shared" ca="1" si="42"/>
        <v>No_Action</v>
      </c>
      <c r="O161" s="13" t="str">
        <f t="shared" ca="1" si="43"/>
        <v>No_Action</v>
      </c>
      <c r="P161" s="13" t="str">
        <f t="shared" ca="1" si="44"/>
        <v>No_Action</v>
      </c>
      <c r="Q161" s="13" t="str">
        <f t="shared" ca="1" si="45"/>
        <v>No_Action</v>
      </c>
      <c r="R161" s="15"/>
      <c r="S161" s="15" t="str">
        <f t="shared" ca="1" si="46"/>
        <v>NoNo</v>
      </c>
      <c r="T161" s="15"/>
      <c r="U161" s="15">
        <f t="shared" ca="1" si="47"/>
        <v>0</v>
      </c>
      <c r="V161" s="15">
        <f t="shared" ca="1" si="48"/>
        <v>0</v>
      </c>
      <c r="W161" s="15" t="str">
        <f t="shared" ca="1" si="49"/>
        <v>No_Action</v>
      </c>
      <c r="X161" s="15"/>
      <c r="Y161" s="15" t="str">
        <f t="shared" ca="1" si="50"/>
        <v>No_Action</v>
      </c>
      <c r="Z161" s="15">
        <f t="shared" ca="1" si="51"/>
        <v>0</v>
      </c>
      <c r="AA161" s="15">
        <f t="shared" ca="1" si="52"/>
        <v>0</v>
      </c>
      <c r="AB161" s="15"/>
      <c r="AC161" s="15" t="str">
        <f t="shared" ca="1" si="53"/>
        <v>NoNo</v>
      </c>
      <c r="AD161" s="15"/>
      <c r="AE161" s="15">
        <f t="shared" ca="1" si="54"/>
        <v>0</v>
      </c>
      <c r="AF161" s="16">
        <f t="shared" ca="1" si="55"/>
        <v>0</v>
      </c>
      <c r="AG161" s="16" t="str">
        <f t="shared" ca="1" si="56"/>
        <v>No_Action</v>
      </c>
      <c r="AH161" s="15"/>
      <c r="AI161" s="15" t="str">
        <f t="shared" ca="1" si="57"/>
        <v>No_Action</v>
      </c>
      <c r="AJ161" s="15">
        <f t="shared" ca="1" si="58"/>
        <v>0</v>
      </c>
      <c r="AK161" s="15">
        <f t="shared" ca="1" si="59"/>
        <v>0</v>
      </c>
    </row>
    <row r="162" spans="1:37" ht="14.5" customHeight="1" x14ac:dyDescent="0.35">
      <c r="A162" s="12" t="s">
        <v>178</v>
      </c>
      <c r="B162" s="13">
        <f ca="1">IFERROR(__xludf.DUMMYFUNCTION("GOOGLEFINANCE(""NSE:""&amp;A162,""PRICE"")"),794.55)</f>
        <v>794.55</v>
      </c>
      <c r="C162" s="13">
        <f ca="1">IFERROR(__xludf.DUMMYFUNCTION("GOOGLEFINANCE(""NSE:""&amp;A162,""PRICEOPEN"")"),798)</f>
        <v>798</v>
      </c>
      <c r="D162" s="13">
        <f ca="1">IFERROR(__xludf.DUMMYFUNCTION("GOOGLEFINANCE(""NSE:""&amp;A162,""HIGH"")"),806)</f>
        <v>806</v>
      </c>
      <c r="E162" s="13">
        <f ca="1">IFERROR(__xludf.DUMMYFUNCTION("GOOGLEFINANCE(""NSE:""&amp;A162,""LOW"")"),788.65)</f>
        <v>788.65</v>
      </c>
      <c r="F162" s="13">
        <f ca="1">IFERROR(__xludf.DUMMYFUNCTION("GOOGLEFINANCE(""NSE:""&amp;A162,""closeyest"")"),785.35)</f>
        <v>785.35</v>
      </c>
      <c r="G162" s="14">
        <f t="shared" ca="1" si="40"/>
        <v>-4.3420804228809333E-3</v>
      </c>
      <c r="H162" s="13">
        <f ca="1">IFERROR(__xludf.DUMMYFUNCTION("GOOGLEFINANCE(""NSE:""&amp;A162,""VOLUME"")"),176554)</f>
        <v>176554</v>
      </c>
      <c r="I162" s="13" t="str">
        <f ca="1">IFERROR(__xludf.DUMMYFUNCTION("AVERAGE(index(GOOGLEFINANCE(""NSE:""&amp;$A162, ""volume"", today()-21, today()-1), , 2))"),"#N/A")</f>
        <v>#N/A</v>
      </c>
      <c r="J162" s="14" t="e">
        <f t="shared" ca="1" si="41"/>
        <v>#VALUE!</v>
      </c>
      <c r="K162" s="13" t="str">
        <f ca="1">IFERROR(__xludf.DUMMYFUNCTION("AVERAGE(index(GOOGLEFINANCE(""NSE:""&amp;$A162, ""close"", today()-6, today()-1), , 2))"),"#N/A")</f>
        <v>#N/A</v>
      </c>
      <c r="L162" s="13" t="str">
        <f ca="1">IFERROR(__xludf.DUMMYFUNCTION("AVERAGE(index(GOOGLEFINANCE(""NSE:""&amp;$A162, ""close"", today()-14, today()-1), , 2))"),"#N/A")</f>
        <v>#N/A</v>
      </c>
      <c r="M162" s="13" t="str">
        <f ca="1">IFERROR(__xludf.DUMMYFUNCTION("AVERAGE(index(GOOGLEFINANCE(""NSE:""&amp;$A162, ""close"", today()-22, today()-1), , 2))"),"#N/A")</f>
        <v>#N/A</v>
      </c>
      <c r="N162" s="13" t="str">
        <f t="shared" ca="1" si="42"/>
        <v>No_Action</v>
      </c>
      <c r="O162" s="13" t="str">
        <f t="shared" ca="1" si="43"/>
        <v>No_Action</v>
      </c>
      <c r="P162" s="13" t="str">
        <f t="shared" ca="1" si="44"/>
        <v>No_Action</v>
      </c>
      <c r="Q162" s="13" t="str">
        <f t="shared" ca="1" si="45"/>
        <v>No_Action</v>
      </c>
      <c r="R162" s="15"/>
      <c r="S162" s="15" t="str">
        <f t="shared" ca="1" si="46"/>
        <v>NoNo</v>
      </c>
      <c r="T162" s="15"/>
      <c r="U162" s="15">
        <f t="shared" ca="1" si="47"/>
        <v>0</v>
      </c>
      <c r="V162" s="15">
        <f t="shared" ca="1" si="48"/>
        <v>0</v>
      </c>
      <c r="W162" s="15" t="str">
        <f t="shared" ca="1" si="49"/>
        <v>No_Action</v>
      </c>
      <c r="X162" s="15"/>
      <c r="Y162" s="15" t="str">
        <f t="shared" ca="1" si="50"/>
        <v>No_Action</v>
      </c>
      <c r="Z162" s="15">
        <f t="shared" ca="1" si="51"/>
        <v>0</v>
      </c>
      <c r="AA162" s="15">
        <f t="shared" ca="1" si="52"/>
        <v>0</v>
      </c>
      <c r="AB162" s="15"/>
      <c r="AC162" s="15" t="str">
        <f t="shared" ca="1" si="53"/>
        <v>NoNo</v>
      </c>
      <c r="AD162" s="15"/>
      <c r="AE162" s="15">
        <f t="shared" ca="1" si="54"/>
        <v>0</v>
      </c>
      <c r="AF162" s="16">
        <f t="shared" ca="1" si="55"/>
        <v>0</v>
      </c>
      <c r="AG162" s="16" t="str">
        <f t="shared" ca="1" si="56"/>
        <v>No_Action</v>
      </c>
      <c r="AH162" s="15"/>
      <c r="AI162" s="15" t="str">
        <f t="shared" ca="1" si="57"/>
        <v>No_Action</v>
      </c>
      <c r="AJ162" s="15">
        <f t="shared" ca="1" si="58"/>
        <v>0</v>
      </c>
      <c r="AK162" s="15">
        <f t="shared" ca="1" si="59"/>
        <v>0</v>
      </c>
    </row>
    <row r="163" spans="1:37" ht="14.5" customHeight="1" x14ac:dyDescent="0.35">
      <c r="A163" s="12" t="s">
        <v>179</v>
      </c>
      <c r="B163" s="13">
        <f ca="1">IFERROR(__xludf.DUMMYFUNCTION("GOOGLEFINANCE(""NSE:""&amp;A163,""PRICE"")"),337)</f>
        <v>337</v>
      </c>
      <c r="C163" s="13">
        <f ca="1">IFERROR(__xludf.DUMMYFUNCTION("GOOGLEFINANCE(""NSE:""&amp;A163,""PRICEOPEN"")"),334.75)</f>
        <v>334.75</v>
      </c>
      <c r="D163" s="13">
        <f ca="1">IFERROR(__xludf.DUMMYFUNCTION("GOOGLEFINANCE(""NSE:""&amp;A163,""HIGH"")"),341.65)</f>
        <v>341.65</v>
      </c>
      <c r="E163" s="13">
        <f ca="1">IFERROR(__xludf.DUMMYFUNCTION("GOOGLEFINANCE(""NSE:""&amp;A163,""LOW"")"),333.15)</f>
        <v>333.15</v>
      </c>
      <c r="F163" s="13">
        <f ca="1">IFERROR(__xludf.DUMMYFUNCTION("GOOGLEFINANCE(""NSE:""&amp;A163,""closeyest"")"),336)</f>
        <v>336</v>
      </c>
      <c r="G163" s="14">
        <f t="shared" ca="1" si="40"/>
        <v>6.6765578635014835E-3</v>
      </c>
      <c r="H163" s="13">
        <f ca="1">IFERROR(__xludf.DUMMYFUNCTION("GOOGLEFINANCE(""NSE:""&amp;A163,""VOLUME"")"),842895)</f>
        <v>842895</v>
      </c>
      <c r="I163" s="13" t="str">
        <f ca="1">IFERROR(__xludf.DUMMYFUNCTION("AVERAGE(index(GOOGLEFINANCE(""NSE:""&amp;$A163, ""volume"", today()-21, today()-1), , 2))"),"#N/A")</f>
        <v>#N/A</v>
      </c>
      <c r="J163" s="14" t="e">
        <f t="shared" ca="1" si="41"/>
        <v>#VALUE!</v>
      </c>
      <c r="K163" s="13" t="str">
        <f ca="1">IFERROR(__xludf.DUMMYFUNCTION("AVERAGE(index(GOOGLEFINANCE(""NSE:""&amp;$A163, ""close"", today()-6, today()-1), , 2))"),"#N/A")</f>
        <v>#N/A</v>
      </c>
      <c r="L163" s="13" t="str">
        <f ca="1">IFERROR(__xludf.DUMMYFUNCTION("AVERAGE(index(GOOGLEFINANCE(""NSE:""&amp;$A163, ""close"", today()-14, today()-1), , 2))"),"#N/A")</f>
        <v>#N/A</v>
      </c>
      <c r="M163" s="13" t="str">
        <f ca="1">IFERROR(__xludf.DUMMYFUNCTION("AVERAGE(index(GOOGLEFINANCE(""NSE:""&amp;$A163, ""close"", today()-22, today()-1), , 2))"),"#N/A")</f>
        <v>#N/A</v>
      </c>
      <c r="N163" s="13" t="str">
        <f t="shared" ca="1" si="42"/>
        <v>No_Action</v>
      </c>
      <c r="O163" s="13" t="str">
        <f t="shared" ca="1" si="43"/>
        <v>No_Action</v>
      </c>
      <c r="P163" s="13" t="str">
        <f t="shared" ca="1" si="44"/>
        <v>No_Action</v>
      </c>
      <c r="Q163" s="13" t="str">
        <f t="shared" ca="1" si="45"/>
        <v>No_Action</v>
      </c>
      <c r="R163" s="15"/>
      <c r="S163" s="15" t="str">
        <f t="shared" ca="1" si="46"/>
        <v>NoNo</v>
      </c>
      <c r="T163" s="15"/>
      <c r="U163" s="15">
        <f t="shared" ca="1" si="47"/>
        <v>0</v>
      </c>
      <c r="V163" s="15">
        <f t="shared" ca="1" si="48"/>
        <v>0</v>
      </c>
      <c r="W163" s="15" t="str">
        <f t="shared" ca="1" si="49"/>
        <v>No_Action</v>
      </c>
      <c r="X163" s="15"/>
      <c r="Y163" s="15" t="str">
        <f t="shared" ca="1" si="50"/>
        <v>No_Action</v>
      </c>
      <c r="Z163" s="15">
        <f t="shared" ca="1" si="51"/>
        <v>0</v>
      </c>
      <c r="AA163" s="15">
        <f t="shared" ca="1" si="52"/>
        <v>0</v>
      </c>
      <c r="AB163" s="15"/>
      <c r="AC163" s="15" t="str">
        <f t="shared" ca="1" si="53"/>
        <v>NoNo</v>
      </c>
      <c r="AD163" s="15"/>
      <c r="AE163" s="15">
        <f t="shared" ca="1" si="54"/>
        <v>0</v>
      </c>
      <c r="AF163" s="16">
        <f t="shared" ca="1" si="55"/>
        <v>0</v>
      </c>
      <c r="AG163" s="16" t="str">
        <f t="shared" ca="1" si="56"/>
        <v>No_Action</v>
      </c>
      <c r="AH163" s="15"/>
      <c r="AI163" s="15" t="str">
        <f t="shared" ca="1" si="57"/>
        <v>No_Action</v>
      </c>
      <c r="AJ163" s="15">
        <f t="shared" ca="1" si="58"/>
        <v>0</v>
      </c>
      <c r="AK163" s="15">
        <f t="shared" ca="1" si="59"/>
        <v>0</v>
      </c>
    </row>
    <row r="164" spans="1:37" ht="14.5" customHeight="1" x14ac:dyDescent="0.35">
      <c r="A164" s="12" t="s">
        <v>180</v>
      </c>
      <c r="B164" s="13">
        <f ca="1">IFERROR(__xludf.DUMMYFUNCTION("GOOGLEFINANCE(""NSE:""&amp;A164,""PRICE"")"),747)</f>
        <v>747</v>
      </c>
      <c r="C164" s="13">
        <f ca="1">IFERROR(__xludf.DUMMYFUNCTION("GOOGLEFINANCE(""NSE:""&amp;A164,""PRICEOPEN"")"),743.95)</f>
        <v>743.95</v>
      </c>
      <c r="D164" s="13">
        <f ca="1">IFERROR(__xludf.DUMMYFUNCTION("GOOGLEFINANCE(""NSE:""&amp;A164,""HIGH"")"),750.55)</f>
        <v>750.55</v>
      </c>
      <c r="E164" s="13">
        <f ca="1">IFERROR(__xludf.DUMMYFUNCTION("GOOGLEFINANCE(""NSE:""&amp;A164,""LOW"")"),736.65)</f>
        <v>736.65</v>
      </c>
      <c r="F164" s="13">
        <f ca="1">IFERROR(__xludf.DUMMYFUNCTION("GOOGLEFINANCE(""NSE:""&amp;A164,""closeyest"")"),741.6)</f>
        <v>741.6</v>
      </c>
      <c r="G164" s="14">
        <f t="shared" ca="1" si="40"/>
        <v>4.0829986613118534E-3</v>
      </c>
      <c r="H164" s="13">
        <f ca="1">IFERROR(__xludf.DUMMYFUNCTION("GOOGLEFINANCE(""NSE:""&amp;A164,""VOLUME"")"),692792)</f>
        <v>692792</v>
      </c>
      <c r="I164" s="13" t="str">
        <f ca="1">IFERROR(__xludf.DUMMYFUNCTION("AVERAGE(index(GOOGLEFINANCE(""NSE:""&amp;$A164, ""volume"", today()-21, today()-1), , 2))"),"#N/A")</f>
        <v>#N/A</v>
      </c>
      <c r="J164" s="14" t="e">
        <f t="shared" ca="1" si="41"/>
        <v>#VALUE!</v>
      </c>
      <c r="K164" s="13" t="str">
        <f ca="1">IFERROR(__xludf.DUMMYFUNCTION("AVERAGE(index(GOOGLEFINANCE(""NSE:""&amp;$A164, ""close"", today()-6, today()-1), , 2))"),"#N/A")</f>
        <v>#N/A</v>
      </c>
      <c r="L164" s="13" t="str">
        <f ca="1">IFERROR(__xludf.DUMMYFUNCTION("AVERAGE(index(GOOGLEFINANCE(""NSE:""&amp;$A164, ""close"", today()-14, today()-1), , 2))"),"#N/A")</f>
        <v>#N/A</v>
      </c>
      <c r="M164" s="13" t="str">
        <f ca="1">IFERROR(__xludf.DUMMYFUNCTION("AVERAGE(index(GOOGLEFINANCE(""NSE:""&amp;$A164, ""close"", today()-22, today()-1), , 2))"),"#N/A")</f>
        <v>#N/A</v>
      </c>
      <c r="N164" s="13" t="str">
        <f t="shared" ca="1" si="42"/>
        <v>No_Action</v>
      </c>
      <c r="O164" s="13" t="str">
        <f t="shared" ca="1" si="43"/>
        <v>No_Action</v>
      </c>
      <c r="P164" s="13" t="str">
        <f t="shared" ca="1" si="44"/>
        <v>No_Action</v>
      </c>
      <c r="Q164" s="13" t="str">
        <f t="shared" ca="1" si="45"/>
        <v>No_Action</v>
      </c>
      <c r="R164" s="15"/>
      <c r="S164" s="15" t="str">
        <f t="shared" ca="1" si="46"/>
        <v>NoNo</v>
      </c>
      <c r="T164" s="15"/>
      <c r="U164" s="15">
        <f t="shared" ca="1" si="47"/>
        <v>0</v>
      </c>
      <c r="V164" s="15">
        <f t="shared" ca="1" si="48"/>
        <v>0</v>
      </c>
      <c r="W164" s="15" t="str">
        <f t="shared" ca="1" si="49"/>
        <v>No_Action</v>
      </c>
      <c r="X164" s="15"/>
      <c r="Y164" s="15" t="str">
        <f t="shared" ca="1" si="50"/>
        <v>No_Action</v>
      </c>
      <c r="Z164" s="15">
        <f t="shared" ca="1" si="51"/>
        <v>0</v>
      </c>
      <c r="AA164" s="15">
        <f t="shared" ca="1" si="52"/>
        <v>0</v>
      </c>
      <c r="AB164" s="15"/>
      <c r="AC164" s="15" t="str">
        <f t="shared" ca="1" si="53"/>
        <v>NoNo</v>
      </c>
      <c r="AD164" s="15"/>
      <c r="AE164" s="15">
        <f t="shared" ca="1" si="54"/>
        <v>0</v>
      </c>
      <c r="AF164" s="16">
        <f t="shared" ca="1" si="55"/>
        <v>0</v>
      </c>
      <c r="AG164" s="16" t="str">
        <f t="shared" ca="1" si="56"/>
        <v>No_Action</v>
      </c>
      <c r="AH164" s="15"/>
      <c r="AI164" s="15" t="str">
        <f t="shared" ca="1" si="57"/>
        <v>No_Action</v>
      </c>
      <c r="AJ164" s="15">
        <f t="shared" ca="1" si="58"/>
        <v>0</v>
      </c>
      <c r="AK164" s="15">
        <f t="shared" ca="1" si="59"/>
        <v>0</v>
      </c>
    </row>
    <row r="165" spans="1:37" ht="14.5" customHeight="1" x14ac:dyDescent="0.35">
      <c r="A165" s="12" t="s">
        <v>181</v>
      </c>
      <c r="B165" s="13">
        <f ca="1">IFERROR(__xludf.DUMMYFUNCTION("GOOGLEFINANCE(""NSE:""&amp;A165,""PRICE"")"),968)</f>
        <v>968</v>
      </c>
      <c r="C165" s="13">
        <f ca="1">IFERROR(__xludf.DUMMYFUNCTION("GOOGLEFINANCE(""NSE:""&amp;A165,""PRICEOPEN"")"),950.05)</f>
        <v>950.05</v>
      </c>
      <c r="D165" s="13">
        <f ca="1">IFERROR(__xludf.DUMMYFUNCTION("GOOGLEFINANCE(""NSE:""&amp;A165,""HIGH"")"),969.6)</f>
        <v>969.6</v>
      </c>
      <c r="E165" s="13">
        <f ca="1">IFERROR(__xludf.DUMMYFUNCTION("GOOGLEFINANCE(""NSE:""&amp;A165,""LOW"")"),945.2)</f>
        <v>945.2</v>
      </c>
      <c r="F165" s="13">
        <f ca="1">IFERROR(__xludf.DUMMYFUNCTION("GOOGLEFINANCE(""NSE:""&amp;A165,""closeyest"")"),949.1)</f>
        <v>949.1</v>
      </c>
      <c r="G165" s="14">
        <f t="shared" ca="1" si="40"/>
        <v>1.8543388429752113E-2</v>
      </c>
      <c r="H165" s="13">
        <f ca="1">IFERROR(__xludf.DUMMYFUNCTION("GOOGLEFINANCE(""NSE:""&amp;A165,""VOLUME"")"),1433142)</f>
        <v>1433142</v>
      </c>
      <c r="I165" s="13" t="str">
        <f ca="1">IFERROR(__xludf.DUMMYFUNCTION("AVERAGE(index(GOOGLEFINANCE(""NSE:""&amp;$A165, ""volume"", today()-21, today()-1), , 2))"),"#N/A")</f>
        <v>#N/A</v>
      </c>
      <c r="J165" s="14" t="e">
        <f t="shared" ca="1" si="41"/>
        <v>#VALUE!</v>
      </c>
      <c r="K165" s="13" t="str">
        <f ca="1">IFERROR(__xludf.DUMMYFUNCTION("AVERAGE(index(GOOGLEFINANCE(""NSE:""&amp;$A165, ""close"", today()-6, today()-1), , 2))"),"#N/A")</f>
        <v>#N/A</v>
      </c>
      <c r="L165" s="13" t="str">
        <f ca="1">IFERROR(__xludf.DUMMYFUNCTION("AVERAGE(index(GOOGLEFINANCE(""NSE:""&amp;$A165, ""close"", today()-14, today()-1), , 2))"),"#N/A")</f>
        <v>#N/A</v>
      </c>
      <c r="M165" s="13" t="str">
        <f ca="1">IFERROR(__xludf.DUMMYFUNCTION("AVERAGE(index(GOOGLEFINANCE(""NSE:""&amp;$A165, ""close"", today()-22, today()-1), , 2))"),"#N/A")</f>
        <v>#N/A</v>
      </c>
      <c r="N165" s="13" t="str">
        <f t="shared" ca="1" si="42"/>
        <v>No_Action</v>
      </c>
      <c r="O165" s="13" t="str">
        <f t="shared" ca="1" si="43"/>
        <v>No_Action</v>
      </c>
      <c r="P165" s="13" t="str">
        <f t="shared" ca="1" si="44"/>
        <v>No_Action</v>
      </c>
      <c r="Q165" s="13" t="str">
        <f t="shared" ca="1" si="45"/>
        <v>No_Action</v>
      </c>
      <c r="R165" s="15"/>
      <c r="S165" s="15" t="str">
        <f t="shared" ca="1" si="46"/>
        <v>NoNo</v>
      </c>
      <c r="T165" s="15"/>
      <c r="U165" s="15">
        <f t="shared" ca="1" si="47"/>
        <v>0</v>
      </c>
      <c r="V165" s="15">
        <f t="shared" ca="1" si="48"/>
        <v>0</v>
      </c>
      <c r="W165" s="15" t="str">
        <f t="shared" ca="1" si="49"/>
        <v>No_Action</v>
      </c>
      <c r="X165" s="15"/>
      <c r="Y165" s="15" t="str">
        <f t="shared" ca="1" si="50"/>
        <v>No_Action</v>
      </c>
      <c r="Z165" s="15">
        <f t="shared" ca="1" si="51"/>
        <v>0</v>
      </c>
      <c r="AA165" s="15">
        <f t="shared" ca="1" si="52"/>
        <v>0</v>
      </c>
      <c r="AB165" s="15"/>
      <c r="AC165" s="15" t="str">
        <f t="shared" ca="1" si="53"/>
        <v>NoNo</v>
      </c>
      <c r="AD165" s="15"/>
      <c r="AE165" s="15">
        <f t="shared" ca="1" si="54"/>
        <v>0</v>
      </c>
      <c r="AF165" s="16">
        <f t="shared" ca="1" si="55"/>
        <v>0</v>
      </c>
      <c r="AG165" s="16" t="str">
        <f t="shared" ca="1" si="56"/>
        <v>No_Action</v>
      </c>
      <c r="AH165" s="15"/>
      <c r="AI165" s="15" t="str">
        <f t="shared" ca="1" si="57"/>
        <v>No_Action</v>
      </c>
      <c r="AJ165" s="15">
        <f t="shared" ca="1" si="58"/>
        <v>0</v>
      </c>
      <c r="AK165" s="15">
        <f t="shared" ca="1" si="59"/>
        <v>0</v>
      </c>
    </row>
    <row r="166" spans="1:37" ht="14.5" customHeight="1" x14ac:dyDescent="0.35">
      <c r="A166" s="12" t="s">
        <v>182</v>
      </c>
      <c r="B166" s="13">
        <f ca="1">IFERROR(__xludf.DUMMYFUNCTION("GOOGLEFINANCE(""NSE:""&amp;A166,""PRICE"")"),816.85)</f>
        <v>816.85</v>
      </c>
      <c r="C166" s="13">
        <f ca="1">IFERROR(__xludf.DUMMYFUNCTION("GOOGLEFINANCE(""NSE:""&amp;A166,""PRICEOPEN"")"),807)</f>
        <v>807</v>
      </c>
      <c r="D166" s="13">
        <f ca="1">IFERROR(__xludf.DUMMYFUNCTION("GOOGLEFINANCE(""NSE:""&amp;A166,""HIGH"")"),833.95)</f>
        <v>833.95</v>
      </c>
      <c r="E166" s="13">
        <f ca="1">IFERROR(__xludf.DUMMYFUNCTION("GOOGLEFINANCE(""NSE:""&amp;A166,""LOW"")"),807)</f>
        <v>807</v>
      </c>
      <c r="F166" s="13">
        <f ca="1">IFERROR(__xludf.DUMMYFUNCTION("GOOGLEFINANCE(""NSE:""&amp;A166,""closeyest"")"),807)</f>
        <v>807</v>
      </c>
      <c r="G166" s="14">
        <f t="shared" ca="1" si="40"/>
        <v>1.2058517475668756E-2</v>
      </c>
      <c r="H166" s="13">
        <f ca="1">IFERROR(__xludf.DUMMYFUNCTION("GOOGLEFINANCE(""NSE:""&amp;A166,""VOLUME"")"),117978)</f>
        <v>117978</v>
      </c>
      <c r="I166" s="13" t="str">
        <f ca="1">IFERROR(__xludf.DUMMYFUNCTION("AVERAGE(index(GOOGLEFINANCE(""NSE:""&amp;$A166, ""volume"", today()-21, today()-1), , 2))"),"#N/A")</f>
        <v>#N/A</v>
      </c>
      <c r="J166" s="14" t="e">
        <f t="shared" ca="1" si="41"/>
        <v>#VALUE!</v>
      </c>
      <c r="K166" s="13" t="str">
        <f ca="1">IFERROR(__xludf.DUMMYFUNCTION("AVERAGE(index(GOOGLEFINANCE(""NSE:""&amp;$A166, ""close"", today()-6, today()-1), , 2))"),"#N/A")</f>
        <v>#N/A</v>
      </c>
      <c r="L166" s="13" t="str">
        <f ca="1">IFERROR(__xludf.DUMMYFUNCTION("AVERAGE(index(GOOGLEFINANCE(""NSE:""&amp;$A166, ""close"", today()-14, today()-1), , 2))"),"#N/A")</f>
        <v>#N/A</v>
      </c>
      <c r="M166" s="13" t="str">
        <f ca="1">IFERROR(__xludf.DUMMYFUNCTION("AVERAGE(index(GOOGLEFINANCE(""NSE:""&amp;$A166, ""close"", today()-22, today()-1), , 2))"),"#N/A")</f>
        <v>#N/A</v>
      </c>
      <c r="N166" s="13" t="str">
        <f t="shared" ca="1" si="42"/>
        <v>No_Action</v>
      </c>
      <c r="O166" s="13" t="str">
        <f t="shared" ca="1" si="43"/>
        <v>No_Action</v>
      </c>
      <c r="P166" s="13" t="str">
        <f t="shared" ca="1" si="44"/>
        <v>No_Action</v>
      </c>
      <c r="Q166" s="13" t="str">
        <f t="shared" ca="1" si="45"/>
        <v>No_Action</v>
      </c>
      <c r="R166" s="15"/>
      <c r="S166" s="15" t="str">
        <f t="shared" ca="1" si="46"/>
        <v>NoNo</v>
      </c>
      <c r="T166" s="15"/>
      <c r="U166" s="15">
        <f t="shared" ca="1" si="47"/>
        <v>0</v>
      </c>
      <c r="V166" s="15">
        <f t="shared" ca="1" si="48"/>
        <v>0</v>
      </c>
      <c r="W166" s="15" t="str">
        <f t="shared" ca="1" si="49"/>
        <v>No_Action</v>
      </c>
      <c r="X166" s="15"/>
      <c r="Y166" s="15" t="str">
        <f t="shared" ca="1" si="50"/>
        <v>No_Action</v>
      </c>
      <c r="Z166" s="15">
        <f t="shared" ca="1" si="51"/>
        <v>0</v>
      </c>
      <c r="AA166" s="15">
        <f t="shared" ca="1" si="52"/>
        <v>0</v>
      </c>
      <c r="AB166" s="15"/>
      <c r="AC166" s="15" t="str">
        <f t="shared" ca="1" si="53"/>
        <v>NoNo</v>
      </c>
      <c r="AD166" s="15"/>
      <c r="AE166" s="15">
        <f t="shared" ca="1" si="54"/>
        <v>0</v>
      </c>
      <c r="AF166" s="16">
        <f t="shared" ca="1" si="55"/>
        <v>0</v>
      </c>
      <c r="AG166" s="16" t="str">
        <f t="shared" ca="1" si="56"/>
        <v>No_Action</v>
      </c>
      <c r="AH166" s="15"/>
      <c r="AI166" s="15" t="str">
        <f t="shared" ca="1" si="57"/>
        <v>No_Action</v>
      </c>
      <c r="AJ166" s="15">
        <f t="shared" ca="1" si="58"/>
        <v>0</v>
      </c>
      <c r="AK166" s="15">
        <f t="shared" ca="1" si="59"/>
        <v>0</v>
      </c>
    </row>
    <row r="167" spans="1:37" ht="14.5" customHeight="1" x14ac:dyDescent="0.35">
      <c r="A167" s="12" t="s">
        <v>183</v>
      </c>
      <c r="B167" s="13">
        <f ca="1">IFERROR(__xludf.DUMMYFUNCTION("GOOGLEFINANCE(""NSE:""&amp;A167,""PRICE"")"),485)</f>
        <v>485</v>
      </c>
      <c r="C167" s="13">
        <f ca="1">IFERROR(__xludf.DUMMYFUNCTION("GOOGLEFINANCE(""NSE:""&amp;A167,""PRICEOPEN"")"),487.5)</f>
        <v>487.5</v>
      </c>
      <c r="D167" s="13">
        <f ca="1">IFERROR(__xludf.DUMMYFUNCTION("GOOGLEFINANCE(""NSE:""&amp;A167,""HIGH"")"),490.55)</f>
        <v>490.55</v>
      </c>
      <c r="E167" s="13">
        <f ca="1">IFERROR(__xludf.DUMMYFUNCTION("GOOGLEFINANCE(""NSE:""&amp;A167,""LOW"")"),480)</f>
        <v>480</v>
      </c>
      <c r="F167" s="13">
        <f ca="1">IFERROR(__xludf.DUMMYFUNCTION("GOOGLEFINANCE(""NSE:""&amp;A167,""closeyest"")"),483.15)</f>
        <v>483.15</v>
      </c>
      <c r="G167" s="14">
        <f t="shared" ca="1" si="40"/>
        <v>-5.1546391752577319E-3</v>
      </c>
      <c r="H167" s="13">
        <f ca="1">IFERROR(__xludf.DUMMYFUNCTION("GOOGLEFINANCE(""NSE:""&amp;A167,""VOLUME"")"),539774)</f>
        <v>539774</v>
      </c>
      <c r="I167" s="13" t="str">
        <f ca="1">IFERROR(__xludf.DUMMYFUNCTION("AVERAGE(index(GOOGLEFINANCE(""NSE:""&amp;$A167, ""volume"", today()-21, today()-1), , 2))"),"#N/A")</f>
        <v>#N/A</v>
      </c>
      <c r="J167" s="14" t="e">
        <f t="shared" ca="1" si="41"/>
        <v>#VALUE!</v>
      </c>
      <c r="K167" s="13" t="str">
        <f ca="1">IFERROR(__xludf.DUMMYFUNCTION("AVERAGE(index(GOOGLEFINANCE(""NSE:""&amp;$A167, ""close"", today()-6, today()-1), , 2))"),"#N/A")</f>
        <v>#N/A</v>
      </c>
      <c r="L167" s="13" t="str">
        <f ca="1">IFERROR(__xludf.DUMMYFUNCTION("AVERAGE(index(GOOGLEFINANCE(""NSE:""&amp;$A167, ""close"", today()-14, today()-1), , 2))"),"#N/A")</f>
        <v>#N/A</v>
      </c>
      <c r="M167" s="13" t="str">
        <f ca="1">IFERROR(__xludf.DUMMYFUNCTION("AVERAGE(index(GOOGLEFINANCE(""NSE:""&amp;$A167, ""close"", today()-22, today()-1), , 2))"),"#N/A")</f>
        <v>#N/A</v>
      </c>
      <c r="N167" s="13" t="str">
        <f t="shared" ca="1" si="42"/>
        <v>No_Action</v>
      </c>
      <c r="O167" s="13" t="str">
        <f t="shared" ca="1" si="43"/>
        <v>No_Action</v>
      </c>
      <c r="P167" s="13" t="str">
        <f t="shared" ca="1" si="44"/>
        <v>No_Action</v>
      </c>
      <c r="Q167" s="13" t="str">
        <f t="shared" ca="1" si="45"/>
        <v>No_Action</v>
      </c>
      <c r="R167" s="15"/>
      <c r="S167" s="15" t="str">
        <f t="shared" ca="1" si="46"/>
        <v>NoNo</v>
      </c>
      <c r="T167" s="15"/>
      <c r="U167" s="15">
        <f t="shared" ca="1" si="47"/>
        <v>0</v>
      </c>
      <c r="V167" s="15">
        <f t="shared" ca="1" si="48"/>
        <v>0</v>
      </c>
      <c r="W167" s="15" t="str">
        <f t="shared" ca="1" si="49"/>
        <v>No_Action</v>
      </c>
      <c r="X167" s="15"/>
      <c r="Y167" s="15" t="str">
        <f t="shared" ca="1" si="50"/>
        <v>No_Action</v>
      </c>
      <c r="Z167" s="15">
        <f t="shared" ca="1" si="51"/>
        <v>0</v>
      </c>
      <c r="AA167" s="15">
        <f t="shared" ca="1" si="52"/>
        <v>0</v>
      </c>
      <c r="AB167" s="15"/>
      <c r="AC167" s="15" t="str">
        <f t="shared" ca="1" si="53"/>
        <v>NoNo</v>
      </c>
      <c r="AD167" s="15"/>
      <c r="AE167" s="15">
        <f t="shared" ca="1" si="54"/>
        <v>0</v>
      </c>
      <c r="AF167" s="16">
        <f t="shared" ca="1" si="55"/>
        <v>0</v>
      </c>
      <c r="AG167" s="16" t="str">
        <f t="shared" ca="1" si="56"/>
        <v>No_Action</v>
      </c>
      <c r="AH167" s="15"/>
      <c r="AI167" s="15" t="str">
        <f t="shared" ca="1" si="57"/>
        <v>No_Action</v>
      </c>
      <c r="AJ167" s="15">
        <f t="shared" ca="1" si="58"/>
        <v>0</v>
      </c>
      <c r="AK167" s="15">
        <f t="shared" ca="1" si="59"/>
        <v>0</v>
      </c>
    </row>
    <row r="168" spans="1:37" ht="14.5" customHeight="1" x14ac:dyDescent="0.35">
      <c r="A168" s="12" t="s">
        <v>184</v>
      </c>
      <c r="B168" s="13">
        <f ca="1">IFERROR(__xludf.DUMMYFUNCTION("GOOGLEFINANCE(""NSE:""&amp;A168,""PRICE"")"),417.7)</f>
        <v>417.7</v>
      </c>
      <c r="C168" s="13">
        <f ca="1">IFERROR(__xludf.DUMMYFUNCTION("GOOGLEFINANCE(""NSE:""&amp;A168,""PRICEOPEN"")"),392.65)</f>
        <v>392.65</v>
      </c>
      <c r="D168" s="13">
        <f ca="1">IFERROR(__xludf.DUMMYFUNCTION("GOOGLEFINANCE(""NSE:""&amp;A168,""HIGH"")"),424)</f>
        <v>424</v>
      </c>
      <c r="E168" s="13">
        <f ca="1">IFERROR(__xludf.DUMMYFUNCTION("GOOGLEFINANCE(""NSE:""&amp;A168,""LOW"")"),392.05)</f>
        <v>392.05</v>
      </c>
      <c r="F168" s="13">
        <f ca="1">IFERROR(__xludf.DUMMYFUNCTION("GOOGLEFINANCE(""NSE:""&amp;A168,""closeyest"")"),393.6)</f>
        <v>393.6</v>
      </c>
      <c r="G168" s="14">
        <f t="shared" ca="1" si="40"/>
        <v>5.9971271247306709E-2</v>
      </c>
      <c r="H168" s="13">
        <f ca="1">IFERROR(__xludf.DUMMYFUNCTION("GOOGLEFINANCE(""NSE:""&amp;A168,""VOLUME"")"),4318452)</f>
        <v>4318452</v>
      </c>
      <c r="I168" s="13" t="str">
        <f ca="1">IFERROR(__xludf.DUMMYFUNCTION("AVERAGE(index(GOOGLEFINANCE(""NSE:""&amp;$A168, ""volume"", today()-21, today()-1), , 2))"),"#N/A")</f>
        <v>#N/A</v>
      </c>
      <c r="J168" s="14" t="e">
        <f t="shared" ca="1" si="41"/>
        <v>#VALUE!</v>
      </c>
      <c r="K168" s="13" t="str">
        <f ca="1">IFERROR(__xludf.DUMMYFUNCTION("AVERAGE(index(GOOGLEFINANCE(""NSE:""&amp;$A168, ""close"", today()-6, today()-1), , 2))"),"#N/A")</f>
        <v>#N/A</v>
      </c>
      <c r="L168" s="13" t="str">
        <f ca="1">IFERROR(__xludf.DUMMYFUNCTION("AVERAGE(index(GOOGLEFINANCE(""NSE:""&amp;$A168, ""close"", today()-14, today()-1), , 2))"),"#N/A")</f>
        <v>#N/A</v>
      </c>
      <c r="M168" s="13" t="str">
        <f ca="1">IFERROR(__xludf.DUMMYFUNCTION("AVERAGE(index(GOOGLEFINANCE(""NSE:""&amp;$A168, ""close"", today()-22, today()-1), , 2))"),"#N/A")</f>
        <v>#N/A</v>
      </c>
      <c r="N168" s="13" t="str">
        <f t="shared" ca="1" si="42"/>
        <v>No_Action</v>
      </c>
      <c r="O168" s="13" t="str">
        <f t="shared" ca="1" si="43"/>
        <v>No_Action</v>
      </c>
      <c r="P168" s="13" t="str">
        <f t="shared" ca="1" si="44"/>
        <v>No_Action</v>
      </c>
      <c r="Q168" s="13" t="str">
        <f t="shared" ca="1" si="45"/>
        <v>No_Action</v>
      </c>
      <c r="R168" s="15"/>
      <c r="S168" s="15" t="str">
        <f t="shared" ca="1" si="46"/>
        <v>NoNo</v>
      </c>
      <c r="T168" s="15"/>
      <c r="U168" s="15">
        <f t="shared" ca="1" si="47"/>
        <v>0</v>
      </c>
      <c r="V168" s="15">
        <f t="shared" ca="1" si="48"/>
        <v>0</v>
      </c>
      <c r="W168" s="15" t="str">
        <f t="shared" ca="1" si="49"/>
        <v>No_Action</v>
      </c>
      <c r="X168" s="15"/>
      <c r="Y168" s="15" t="str">
        <f t="shared" ca="1" si="50"/>
        <v>No_Action</v>
      </c>
      <c r="Z168" s="15">
        <f t="shared" ca="1" si="51"/>
        <v>0</v>
      </c>
      <c r="AA168" s="15">
        <f t="shared" ca="1" si="52"/>
        <v>0</v>
      </c>
      <c r="AB168" s="15"/>
      <c r="AC168" s="15" t="str">
        <f t="shared" ca="1" si="53"/>
        <v>NoNo</v>
      </c>
      <c r="AD168" s="15"/>
      <c r="AE168" s="15">
        <f t="shared" ca="1" si="54"/>
        <v>0</v>
      </c>
      <c r="AF168" s="16">
        <f t="shared" ca="1" si="55"/>
        <v>0</v>
      </c>
      <c r="AG168" s="16" t="str">
        <f t="shared" ca="1" si="56"/>
        <v>No_Action</v>
      </c>
      <c r="AH168" s="15"/>
      <c r="AI168" s="15" t="str">
        <f t="shared" ca="1" si="57"/>
        <v>No_Action</v>
      </c>
      <c r="AJ168" s="15">
        <f t="shared" ca="1" si="58"/>
        <v>0</v>
      </c>
      <c r="AK168" s="15">
        <f t="shared" ca="1" si="59"/>
        <v>0</v>
      </c>
    </row>
    <row r="169" spans="1:37" ht="14.5" customHeight="1" x14ac:dyDescent="0.35">
      <c r="A169" s="12" t="s">
        <v>185</v>
      </c>
      <c r="B169" s="13">
        <f ca="1">IFERROR(__xludf.DUMMYFUNCTION("GOOGLEFINANCE(""NSE:""&amp;A169,""PRICE"")"),1012)</f>
        <v>1012</v>
      </c>
      <c r="C169" s="13">
        <f ca="1">IFERROR(__xludf.DUMMYFUNCTION("GOOGLEFINANCE(""NSE:""&amp;A169,""PRICEOPEN"")"),1005.5)</f>
        <v>1005.5</v>
      </c>
      <c r="D169" s="13">
        <f ca="1">IFERROR(__xludf.DUMMYFUNCTION("GOOGLEFINANCE(""NSE:""&amp;A169,""HIGH"")"),1015.5)</f>
        <v>1015.5</v>
      </c>
      <c r="E169" s="13">
        <f ca="1">IFERROR(__xludf.DUMMYFUNCTION("GOOGLEFINANCE(""NSE:""&amp;A169,""LOW"")"),993.8)</f>
        <v>993.8</v>
      </c>
      <c r="F169" s="13">
        <f ca="1">IFERROR(__xludf.DUMMYFUNCTION("GOOGLEFINANCE(""NSE:""&amp;A169,""closeyest"")"),1003.8)</f>
        <v>1003.8</v>
      </c>
      <c r="G169" s="14">
        <f t="shared" ca="1" si="40"/>
        <v>6.422924901185771E-3</v>
      </c>
      <c r="H169" s="13">
        <f ca="1">IFERROR(__xludf.DUMMYFUNCTION("GOOGLEFINANCE(""NSE:""&amp;A169,""VOLUME"")"),1457470)</f>
        <v>1457470</v>
      </c>
      <c r="I169" s="13" t="str">
        <f ca="1">IFERROR(__xludf.DUMMYFUNCTION("AVERAGE(index(GOOGLEFINANCE(""NSE:""&amp;$A169, ""volume"", today()-21, today()-1), , 2))"),"#N/A")</f>
        <v>#N/A</v>
      </c>
      <c r="J169" s="14" t="e">
        <f t="shared" ca="1" si="41"/>
        <v>#VALUE!</v>
      </c>
      <c r="K169" s="13" t="str">
        <f ca="1">IFERROR(__xludf.DUMMYFUNCTION("AVERAGE(index(GOOGLEFINANCE(""NSE:""&amp;$A169, ""close"", today()-6, today()-1), , 2))"),"#N/A")</f>
        <v>#N/A</v>
      </c>
      <c r="L169" s="13" t="str">
        <f ca="1">IFERROR(__xludf.DUMMYFUNCTION("AVERAGE(index(GOOGLEFINANCE(""NSE:""&amp;$A169, ""close"", today()-14, today()-1), , 2))"),"#N/A")</f>
        <v>#N/A</v>
      </c>
      <c r="M169" s="13" t="str">
        <f ca="1">IFERROR(__xludf.DUMMYFUNCTION("AVERAGE(index(GOOGLEFINANCE(""NSE:""&amp;$A169, ""close"", today()-22, today()-1), , 2))"),"#N/A")</f>
        <v>#N/A</v>
      </c>
      <c r="N169" s="13" t="str">
        <f t="shared" ca="1" si="42"/>
        <v>No_Action</v>
      </c>
      <c r="O169" s="13" t="str">
        <f t="shared" ca="1" si="43"/>
        <v>No_Action</v>
      </c>
      <c r="P169" s="13" t="str">
        <f t="shared" ca="1" si="44"/>
        <v>No_Action</v>
      </c>
      <c r="Q169" s="13" t="str">
        <f t="shared" ca="1" si="45"/>
        <v>No_Action</v>
      </c>
      <c r="R169" s="15"/>
      <c r="S169" s="15" t="str">
        <f t="shared" ca="1" si="46"/>
        <v>NoNo</v>
      </c>
      <c r="T169" s="15"/>
      <c r="U169" s="15">
        <f t="shared" ca="1" si="47"/>
        <v>0</v>
      </c>
      <c r="V169" s="15">
        <f t="shared" ca="1" si="48"/>
        <v>0</v>
      </c>
      <c r="W169" s="15" t="str">
        <f t="shared" ca="1" si="49"/>
        <v>No_Action</v>
      </c>
      <c r="X169" s="15"/>
      <c r="Y169" s="15" t="str">
        <f t="shared" ca="1" si="50"/>
        <v>No_Action</v>
      </c>
      <c r="Z169" s="15">
        <f t="shared" ca="1" si="51"/>
        <v>0</v>
      </c>
      <c r="AA169" s="15">
        <f t="shared" ca="1" si="52"/>
        <v>0</v>
      </c>
      <c r="AB169" s="15"/>
      <c r="AC169" s="15" t="str">
        <f t="shared" ca="1" si="53"/>
        <v>NoNo</v>
      </c>
      <c r="AD169" s="15"/>
      <c r="AE169" s="15">
        <f t="shared" ca="1" si="54"/>
        <v>0</v>
      </c>
      <c r="AF169" s="16">
        <f t="shared" ca="1" si="55"/>
        <v>0</v>
      </c>
      <c r="AG169" s="16" t="str">
        <f t="shared" ca="1" si="56"/>
        <v>No_Action</v>
      </c>
      <c r="AH169" s="15"/>
      <c r="AI169" s="15" t="str">
        <f t="shared" ca="1" si="57"/>
        <v>No_Action</v>
      </c>
      <c r="AJ169" s="15">
        <f t="shared" ca="1" si="58"/>
        <v>0</v>
      </c>
      <c r="AK169" s="15">
        <f t="shared" ca="1" si="59"/>
        <v>0</v>
      </c>
    </row>
    <row r="170" spans="1:37" ht="14.5" customHeight="1" x14ac:dyDescent="0.35">
      <c r="A170" s="12" t="s">
        <v>186</v>
      </c>
      <c r="B170" s="13">
        <f ca="1">IFERROR(__xludf.DUMMYFUNCTION("GOOGLEFINANCE(""NSE:""&amp;A170,""PRICE"")"),503.9)</f>
        <v>503.9</v>
      </c>
      <c r="C170" s="13">
        <f ca="1">IFERROR(__xludf.DUMMYFUNCTION("GOOGLEFINANCE(""NSE:""&amp;A170,""PRICEOPEN"")"),496.05)</f>
        <v>496.05</v>
      </c>
      <c r="D170" s="13">
        <f ca="1">IFERROR(__xludf.DUMMYFUNCTION("GOOGLEFINANCE(""NSE:""&amp;A170,""HIGH"")"),506.2)</f>
        <v>506.2</v>
      </c>
      <c r="E170" s="13">
        <f ca="1">IFERROR(__xludf.DUMMYFUNCTION("GOOGLEFINANCE(""NSE:""&amp;A170,""LOW"")"),493.85)</f>
        <v>493.85</v>
      </c>
      <c r="F170" s="13">
        <f ca="1">IFERROR(__xludf.DUMMYFUNCTION("GOOGLEFINANCE(""NSE:""&amp;A170,""closeyest"")"),493.05)</f>
        <v>493.05</v>
      </c>
      <c r="G170" s="14">
        <f t="shared" ca="1" si="40"/>
        <v>1.5578487795197393E-2</v>
      </c>
      <c r="H170" s="13">
        <f ca="1">IFERROR(__xludf.DUMMYFUNCTION("GOOGLEFINANCE(""NSE:""&amp;A170,""VOLUME"")"),1014705)</f>
        <v>1014705</v>
      </c>
      <c r="I170" s="13" t="str">
        <f ca="1">IFERROR(__xludf.DUMMYFUNCTION("AVERAGE(index(GOOGLEFINANCE(""NSE:""&amp;$A170, ""volume"", today()-21, today()-1), , 2))"),"#N/A")</f>
        <v>#N/A</v>
      </c>
      <c r="J170" s="14" t="e">
        <f t="shared" ca="1" si="41"/>
        <v>#VALUE!</v>
      </c>
      <c r="K170" s="13" t="str">
        <f ca="1">IFERROR(__xludf.DUMMYFUNCTION("AVERAGE(index(GOOGLEFINANCE(""NSE:""&amp;$A170, ""close"", today()-6, today()-1), , 2))"),"#N/A")</f>
        <v>#N/A</v>
      </c>
      <c r="L170" s="13" t="str">
        <f ca="1">IFERROR(__xludf.DUMMYFUNCTION("AVERAGE(index(GOOGLEFINANCE(""NSE:""&amp;$A170, ""close"", today()-14, today()-1), , 2))"),"#N/A")</f>
        <v>#N/A</v>
      </c>
      <c r="M170" s="13" t="str">
        <f ca="1">IFERROR(__xludf.DUMMYFUNCTION("AVERAGE(index(GOOGLEFINANCE(""NSE:""&amp;$A170, ""close"", today()-22, today()-1), , 2))"),"#N/A")</f>
        <v>#N/A</v>
      </c>
      <c r="N170" s="13" t="str">
        <f t="shared" ca="1" si="42"/>
        <v>No_Action</v>
      </c>
      <c r="O170" s="13" t="str">
        <f t="shared" ca="1" si="43"/>
        <v>No_Action</v>
      </c>
      <c r="P170" s="13" t="str">
        <f t="shared" ca="1" si="44"/>
        <v>No_Action</v>
      </c>
      <c r="Q170" s="13" t="str">
        <f t="shared" ca="1" si="45"/>
        <v>No_Action</v>
      </c>
      <c r="R170" s="15"/>
      <c r="S170" s="15" t="str">
        <f t="shared" ca="1" si="46"/>
        <v>NoNo</v>
      </c>
      <c r="T170" s="15"/>
      <c r="U170" s="15">
        <f t="shared" ca="1" si="47"/>
        <v>0</v>
      </c>
      <c r="V170" s="15">
        <f t="shared" ca="1" si="48"/>
        <v>0</v>
      </c>
      <c r="W170" s="15" t="str">
        <f t="shared" ca="1" si="49"/>
        <v>No_Action</v>
      </c>
      <c r="X170" s="15"/>
      <c r="Y170" s="15" t="str">
        <f t="shared" ca="1" si="50"/>
        <v>No_Action</v>
      </c>
      <c r="Z170" s="15">
        <f t="shared" ca="1" si="51"/>
        <v>0</v>
      </c>
      <c r="AA170" s="15">
        <f t="shared" ca="1" si="52"/>
        <v>0</v>
      </c>
      <c r="AB170" s="15"/>
      <c r="AC170" s="15" t="str">
        <f t="shared" ca="1" si="53"/>
        <v>NoNo</v>
      </c>
      <c r="AD170" s="15"/>
      <c r="AE170" s="15">
        <f t="shared" ca="1" si="54"/>
        <v>0</v>
      </c>
      <c r="AF170" s="16">
        <f t="shared" ca="1" si="55"/>
        <v>0</v>
      </c>
      <c r="AG170" s="16" t="str">
        <f t="shared" ca="1" si="56"/>
        <v>No_Action</v>
      </c>
      <c r="AH170" s="15"/>
      <c r="AI170" s="15" t="str">
        <f t="shared" ca="1" si="57"/>
        <v>No_Action</v>
      </c>
      <c r="AJ170" s="15">
        <f t="shared" ca="1" si="58"/>
        <v>0</v>
      </c>
      <c r="AK170" s="15">
        <f t="shared" ca="1" si="59"/>
        <v>0</v>
      </c>
    </row>
    <row r="171" spans="1:37" ht="14.5" customHeight="1" x14ac:dyDescent="0.35">
      <c r="A171" s="12" t="s">
        <v>187</v>
      </c>
      <c r="B171" s="13">
        <f ca="1">IFERROR(__xludf.DUMMYFUNCTION("GOOGLEFINANCE(""NSE:""&amp;A171,""PRICE"")"),420.5)</f>
        <v>420.5</v>
      </c>
      <c r="C171" s="13">
        <f ca="1">IFERROR(__xludf.DUMMYFUNCTION("GOOGLEFINANCE(""NSE:""&amp;A171,""PRICEOPEN"")"),426)</f>
        <v>426</v>
      </c>
      <c r="D171" s="13">
        <f ca="1">IFERROR(__xludf.DUMMYFUNCTION("GOOGLEFINANCE(""NSE:""&amp;A171,""HIGH"")"),433.2)</f>
        <v>433.2</v>
      </c>
      <c r="E171" s="13">
        <f ca="1">IFERROR(__xludf.DUMMYFUNCTION("GOOGLEFINANCE(""NSE:""&amp;A171,""LOW"")"),414.5)</f>
        <v>414.5</v>
      </c>
      <c r="F171" s="13">
        <f ca="1">IFERROR(__xludf.DUMMYFUNCTION("GOOGLEFINANCE(""NSE:""&amp;A171,""closeyest"")"),423.05)</f>
        <v>423.05</v>
      </c>
      <c r="G171" s="14">
        <f t="shared" ca="1" si="40"/>
        <v>-1.3079667063020214E-2</v>
      </c>
      <c r="H171" s="13">
        <f ca="1">IFERROR(__xludf.DUMMYFUNCTION("GOOGLEFINANCE(""NSE:""&amp;A171,""VOLUME"")"),1166341)</f>
        <v>1166341</v>
      </c>
      <c r="I171" s="13" t="str">
        <f ca="1">IFERROR(__xludf.DUMMYFUNCTION("AVERAGE(index(GOOGLEFINANCE(""NSE:""&amp;$A171, ""volume"", today()-21, today()-1), , 2))"),"#N/A")</f>
        <v>#N/A</v>
      </c>
      <c r="J171" s="14" t="e">
        <f t="shared" ca="1" si="41"/>
        <v>#VALUE!</v>
      </c>
      <c r="K171" s="13" t="str">
        <f ca="1">IFERROR(__xludf.DUMMYFUNCTION("AVERAGE(index(GOOGLEFINANCE(""NSE:""&amp;$A171, ""close"", today()-6, today()-1), , 2))"),"#N/A")</f>
        <v>#N/A</v>
      </c>
      <c r="L171" s="13" t="str">
        <f ca="1">IFERROR(__xludf.DUMMYFUNCTION("AVERAGE(index(GOOGLEFINANCE(""NSE:""&amp;$A171, ""close"", today()-14, today()-1), , 2))"),"#N/A")</f>
        <v>#N/A</v>
      </c>
      <c r="M171" s="13" t="str">
        <f ca="1">IFERROR(__xludf.DUMMYFUNCTION("AVERAGE(index(GOOGLEFINANCE(""NSE:""&amp;$A171, ""close"", today()-22, today()-1), , 2))"),"#N/A")</f>
        <v>#N/A</v>
      </c>
      <c r="N171" s="13" t="str">
        <f t="shared" ca="1" si="42"/>
        <v>No_Action</v>
      </c>
      <c r="O171" s="13" t="str">
        <f t="shared" ca="1" si="43"/>
        <v>No_Action</v>
      </c>
      <c r="P171" s="13" t="str">
        <f t="shared" ca="1" si="44"/>
        <v>No_Action</v>
      </c>
      <c r="Q171" s="13" t="str">
        <f t="shared" ca="1" si="45"/>
        <v>No_Action</v>
      </c>
      <c r="R171" s="15"/>
      <c r="S171" s="15" t="str">
        <f t="shared" ca="1" si="46"/>
        <v>NoNo</v>
      </c>
      <c r="T171" s="15"/>
      <c r="U171" s="15">
        <f t="shared" ca="1" si="47"/>
        <v>0</v>
      </c>
      <c r="V171" s="15">
        <f t="shared" ca="1" si="48"/>
        <v>0</v>
      </c>
      <c r="W171" s="15" t="str">
        <f t="shared" ca="1" si="49"/>
        <v>No_Action</v>
      </c>
      <c r="X171" s="15"/>
      <c r="Y171" s="15" t="str">
        <f t="shared" ca="1" si="50"/>
        <v>No_Action</v>
      </c>
      <c r="Z171" s="15">
        <f t="shared" ca="1" si="51"/>
        <v>0</v>
      </c>
      <c r="AA171" s="15">
        <f t="shared" ca="1" si="52"/>
        <v>0</v>
      </c>
      <c r="AB171" s="15"/>
      <c r="AC171" s="15" t="str">
        <f t="shared" ca="1" si="53"/>
        <v>NoNo</v>
      </c>
      <c r="AD171" s="15"/>
      <c r="AE171" s="15">
        <f t="shared" ca="1" si="54"/>
        <v>0</v>
      </c>
      <c r="AF171" s="16">
        <f t="shared" ca="1" si="55"/>
        <v>0</v>
      </c>
      <c r="AG171" s="16" t="str">
        <f t="shared" ca="1" si="56"/>
        <v>No_Action</v>
      </c>
      <c r="AH171" s="15"/>
      <c r="AI171" s="15" t="str">
        <f t="shared" ca="1" si="57"/>
        <v>No_Action</v>
      </c>
      <c r="AJ171" s="15">
        <f t="shared" ca="1" si="58"/>
        <v>0</v>
      </c>
      <c r="AK171" s="15">
        <f t="shared" ca="1" si="59"/>
        <v>0</v>
      </c>
    </row>
    <row r="172" spans="1:37" ht="14.5" customHeight="1" x14ac:dyDescent="0.35">
      <c r="A172" s="12" t="s">
        <v>188</v>
      </c>
      <c r="B172" s="13">
        <f ca="1">IFERROR(__xludf.DUMMYFUNCTION("GOOGLEFINANCE(""NSE:""&amp;A172,""PRICE"")"),250.31)</f>
        <v>250.31</v>
      </c>
      <c r="C172" s="13">
        <f ca="1">IFERROR(__xludf.DUMMYFUNCTION("GOOGLEFINANCE(""NSE:""&amp;A172,""PRICEOPEN"")"),254.9)</f>
        <v>254.9</v>
      </c>
      <c r="D172" s="13">
        <f ca="1">IFERROR(__xludf.DUMMYFUNCTION("GOOGLEFINANCE(""NSE:""&amp;A172,""HIGH"")"),254.98)</f>
        <v>254.98</v>
      </c>
      <c r="E172" s="13">
        <f ca="1">IFERROR(__xludf.DUMMYFUNCTION("GOOGLEFINANCE(""NSE:""&amp;A172,""LOW"")"),250.14)</f>
        <v>250.14</v>
      </c>
      <c r="F172" s="13">
        <f ca="1">IFERROR(__xludf.DUMMYFUNCTION("GOOGLEFINANCE(""NSE:""&amp;A172,""closeyest"")"),254.33)</f>
        <v>254.33</v>
      </c>
      <c r="G172" s="14">
        <f t="shared" ca="1" si="40"/>
        <v>-1.833726179537375E-2</v>
      </c>
      <c r="H172" s="13">
        <f ca="1">IFERROR(__xludf.DUMMYFUNCTION("GOOGLEFINANCE(""NSE:""&amp;A172,""VOLUME"")"),206204)</f>
        <v>206204</v>
      </c>
      <c r="I172" s="13" t="str">
        <f ca="1">IFERROR(__xludf.DUMMYFUNCTION("AVERAGE(index(GOOGLEFINANCE(""NSE:""&amp;$A172, ""volume"", today()-21, today()-1), , 2))"),"#N/A")</f>
        <v>#N/A</v>
      </c>
      <c r="J172" s="14" t="e">
        <f t="shared" ca="1" si="41"/>
        <v>#VALUE!</v>
      </c>
      <c r="K172" s="13" t="str">
        <f ca="1">IFERROR(__xludf.DUMMYFUNCTION("AVERAGE(index(GOOGLEFINANCE(""NSE:""&amp;$A172, ""close"", today()-6, today()-1), , 2))"),"#N/A")</f>
        <v>#N/A</v>
      </c>
      <c r="L172" s="13" t="str">
        <f ca="1">IFERROR(__xludf.DUMMYFUNCTION("AVERAGE(index(GOOGLEFINANCE(""NSE:""&amp;$A172, ""close"", today()-14, today()-1), , 2))"),"#N/A")</f>
        <v>#N/A</v>
      </c>
      <c r="M172" s="13" t="str">
        <f ca="1">IFERROR(__xludf.DUMMYFUNCTION("AVERAGE(index(GOOGLEFINANCE(""NSE:""&amp;$A172, ""close"", today()-22, today()-1), , 2))"),"#N/A")</f>
        <v>#N/A</v>
      </c>
      <c r="N172" s="13" t="str">
        <f t="shared" ca="1" si="42"/>
        <v>No_Action</v>
      </c>
      <c r="O172" s="13" t="str">
        <f t="shared" ca="1" si="43"/>
        <v>No_Action</v>
      </c>
      <c r="P172" s="13" t="str">
        <f t="shared" ca="1" si="44"/>
        <v>No_Action</v>
      </c>
      <c r="Q172" s="13" t="str">
        <f t="shared" ca="1" si="45"/>
        <v>No_Action</v>
      </c>
      <c r="R172" s="15"/>
      <c r="S172" s="15" t="str">
        <f t="shared" ca="1" si="46"/>
        <v>NoNo</v>
      </c>
      <c r="T172" s="15"/>
      <c r="U172" s="15">
        <f t="shared" ca="1" si="47"/>
        <v>0</v>
      </c>
      <c r="V172" s="15">
        <f t="shared" ca="1" si="48"/>
        <v>0</v>
      </c>
      <c r="W172" s="15" t="str">
        <f t="shared" ca="1" si="49"/>
        <v>No_Action</v>
      </c>
      <c r="X172" s="15"/>
      <c r="Y172" s="15" t="str">
        <f t="shared" ca="1" si="50"/>
        <v>No_Action</v>
      </c>
      <c r="Z172" s="15">
        <f t="shared" ca="1" si="51"/>
        <v>0</v>
      </c>
      <c r="AA172" s="15">
        <f t="shared" ca="1" si="52"/>
        <v>0</v>
      </c>
      <c r="AB172" s="15"/>
      <c r="AC172" s="15" t="str">
        <f t="shared" ca="1" si="53"/>
        <v>NoNo</v>
      </c>
      <c r="AD172" s="15"/>
      <c r="AE172" s="15">
        <f t="shared" ca="1" si="54"/>
        <v>0</v>
      </c>
      <c r="AF172" s="16">
        <f t="shared" ca="1" si="55"/>
        <v>0</v>
      </c>
      <c r="AG172" s="16" t="str">
        <f t="shared" ca="1" si="56"/>
        <v>No_Action</v>
      </c>
      <c r="AH172" s="15"/>
      <c r="AI172" s="15" t="str">
        <f t="shared" ca="1" si="57"/>
        <v>No_Action</v>
      </c>
      <c r="AJ172" s="15">
        <f t="shared" ca="1" si="58"/>
        <v>0</v>
      </c>
      <c r="AK172" s="15">
        <f t="shared" ca="1" si="59"/>
        <v>0</v>
      </c>
    </row>
    <row r="173" spans="1:37" ht="14.5" customHeight="1" x14ac:dyDescent="0.35">
      <c r="A173" s="12" t="s">
        <v>189</v>
      </c>
      <c r="B173" s="13">
        <f ca="1">IFERROR(__xludf.DUMMYFUNCTION("GOOGLEFINANCE(""NSE:""&amp;A173,""PRICE"")"),1000)</f>
        <v>1000</v>
      </c>
      <c r="C173" s="13">
        <f ca="1">IFERROR(__xludf.DUMMYFUNCTION("GOOGLEFINANCE(""NSE:""&amp;A173,""PRICEOPEN"")"),994.95)</f>
        <v>994.95</v>
      </c>
      <c r="D173" s="13">
        <f ca="1">IFERROR(__xludf.DUMMYFUNCTION("GOOGLEFINANCE(""NSE:""&amp;A173,""HIGH"")"),1019.7)</f>
        <v>1019.7</v>
      </c>
      <c r="E173" s="13">
        <f ca="1">IFERROR(__xludf.DUMMYFUNCTION("GOOGLEFINANCE(""NSE:""&amp;A173,""LOW"")"),977.75)</f>
        <v>977.75</v>
      </c>
      <c r="F173" s="13">
        <f ca="1">IFERROR(__xludf.DUMMYFUNCTION("GOOGLEFINANCE(""NSE:""&amp;A173,""closeyest"")"),989.55)</f>
        <v>989.55</v>
      </c>
      <c r="G173" s="14">
        <f t="shared" ca="1" si="40"/>
        <v>5.0499999999999547E-3</v>
      </c>
      <c r="H173" s="13">
        <f ca="1">IFERROR(__xludf.DUMMYFUNCTION("GOOGLEFINANCE(""NSE:""&amp;A173,""VOLUME"")"),500281)</f>
        <v>500281</v>
      </c>
      <c r="I173" s="13" t="str">
        <f ca="1">IFERROR(__xludf.DUMMYFUNCTION("AVERAGE(index(GOOGLEFINANCE(""NSE:""&amp;$A173, ""volume"", today()-21, today()-1), , 2))"),"#N/A")</f>
        <v>#N/A</v>
      </c>
      <c r="J173" s="14" t="e">
        <f t="shared" ca="1" si="41"/>
        <v>#VALUE!</v>
      </c>
      <c r="K173" s="13" t="str">
        <f ca="1">IFERROR(__xludf.DUMMYFUNCTION("AVERAGE(index(GOOGLEFINANCE(""NSE:""&amp;$A173, ""close"", today()-6, today()-1), , 2))"),"#N/A")</f>
        <v>#N/A</v>
      </c>
      <c r="L173" s="13" t="str">
        <f ca="1">IFERROR(__xludf.DUMMYFUNCTION("AVERAGE(index(GOOGLEFINANCE(""NSE:""&amp;$A173, ""close"", today()-14, today()-1), , 2))"),"#N/A")</f>
        <v>#N/A</v>
      </c>
      <c r="M173" s="13" t="str">
        <f ca="1">IFERROR(__xludf.DUMMYFUNCTION("AVERAGE(index(GOOGLEFINANCE(""NSE:""&amp;$A173, ""close"", today()-22, today()-1), , 2))"),"#N/A")</f>
        <v>#N/A</v>
      </c>
      <c r="N173" s="13" t="str">
        <f t="shared" ca="1" si="42"/>
        <v>No_Action</v>
      </c>
      <c r="O173" s="13" t="str">
        <f t="shared" ca="1" si="43"/>
        <v>No_Action</v>
      </c>
      <c r="P173" s="13" t="str">
        <f t="shared" ca="1" si="44"/>
        <v>No_Action</v>
      </c>
      <c r="Q173" s="13" t="str">
        <f t="shared" ca="1" si="45"/>
        <v>No_Action</v>
      </c>
      <c r="R173" s="15"/>
      <c r="S173" s="15" t="str">
        <f t="shared" ca="1" si="46"/>
        <v>NoNo</v>
      </c>
      <c r="T173" s="15"/>
      <c r="U173" s="15">
        <f t="shared" ca="1" si="47"/>
        <v>0</v>
      </c>
      <c r="V173" s="15">
        <f t="shared" ca="1" si="48"/>
        <v>0</v>
      </c>
      <c r="W173" s="15" t="str">
        <f t="shared" ca="1" si="49"/>
        <v>No_Action</v>
      </c>
      <c r="X173" s="15"/>
      <c r="Y173" s="15" t="str">
        <f t="shared" ca="1" si="50"/>
        <v>No_Action</v>
      </c>
      <c r="Z173" s="15">
        <f t="shared" ca="1" si="51"/>
        <v>0</v>
      </c>
      <c r="AA173" s="15">
        <f t="shared" ca="1" si="52"/>
        <v>0</v>
      </c>
      <c r="AB173" s="15"/>
      <c r="AC173" s="15" t="str">
        <f t="shared" ca="1" si="53"/>
        <v>NoNo</v>
      </c>
      <c r="AD173" s="15"/>
      <c r="AE173" s="15">
        <f t="shared" ca="1" si="54"/>
        <v>0</v>
      </c>
      <c r="AF173" s="16">
        <f t="shared" ca="1" si="55"/>
        <v>0</v>
      </c>
      <c r="AG173" s="16" t="str">
        <f t="shared" ca="1" si="56"/>
        <v>No_Action</v>
      </c>
      <c r="AH173" s="15"/>
      <c r="AI173" s="15" t="str">
        <f t="shared" ca="1" si="57"/>
        <v>No_Action</v>
      </c>
      <c r="AJ173" s="15">
        <f t="shared" ca="1" si="58"/>
        <v>0</v>
      </c>
      <c r="AK173" s="15">
        <f t="shared" ca="1" si="59"/>
        <v>0</v>
      </c>
    </row>
    <row r="174" spans="1:37" ht="14.5" customHeight="1" x14ac:dyDescent="0.35">
      <c r="A174" s="12" t="s">
        <v>190</v>
      </c>
      <c r="B174" s="13">
        <f ca="1">IFERROR(__xludf.DUMMYFUNCTION("GOOGLEFINANCE(""NSE:""&amp;A174,""PRICE"")"),1150)</f>
        <v>1150</v>
      </c>
      <c r="C174" s="13">
        <f ca="1">IFERROR(__xludf.DUMMYFUNCTION("GOOGLEFINANCE(""NSE:""&amp;A174,""PRICEOPEN"")"),1182.5)</f>
        <v>1182.5</v>
      </c>
      <c r="D174" s="13">
        <f ca="1">IFERROR(__xludf.DUMMYFUNCTION("GOOGLEFINANCE(""NSE:""&amp;A174,""HIGH"")"),1194.95)</f>
        <v>1194.95</v>
      </c>
      <c r="E174" s="13">
        <f ca="1">IFERROR(__xludf.DUMMYFUNCTION("GOOGLEFINANCE(""NSE:""&amp;A174,""LOW"")"),1147)</f>
        <v>1147</v>
      </c>
      <c r="F174" s="13">
        <f ca="1">IFERROR(__xludf.DUMMYFUNCTION("GOOGLEFINANCE(""NSE:""&amp;A174,""closeyest"")"),1182.45)</f>
        <v>1182.45</v>
      </c>
      <c r="G174" s="14">
        <f t="shared" ca="1" si="40"/>
        <v>-2.8260869565217391E-2</v>
      </c>
      <c r="H174" s="13">
        <f ca="1">IFERROR(__xludf.DUMMYFUNCTION("GOOGLEFINANCE(""NSE:""&amp;A174,""VOLUME"")"),213629)</f>
        <v>213629</v>
      </c>
      <c r="I174" s="13" t="str">
        <f ca="1">IFERROR(__xludf.DUMMYFUNCTION("AVERAGE(index(GOOGLEFINANCE(""NSE:""&amp;$A174, ""volume"", today()-21, today()-1), , 2))"),"#N/A")</f>
        <v>#N/A</v>
      </c>
      <c r="J174" s="14" t="e">
        <f t="shared" ca="1" si="41"/>
        <v>#VALUE!</v>
      </c>
      <c r="K174" s="13" t="str">
        <f ca="1">IFERROR(__xludf.DUMMYFUNCTION("AVERAGE(index(GOOGLEFINANCE(""NSE:""&amp;$A174, ""close"", today()-6, today()-1), , 2))"),"#N/A")</f>
        <v>#N/A</v>
      </c>
      <c r="L174" s="13" t="str">
        <f ca="1">IFERROR(__xludf.DUMMYFUNCTION("AVERAGE(index(GOOGLEFINANCE(""NSE:""&amp;$A174, ""close"", today()-14, today()-1), , 2))"),"#N/A")</f>
        <v>#N/A</v>
      </c>
      <c r="M174" s="13" t="str">
        <f ca="1">IFERROR(__xludf.DUMMYFUNCTION("AVERAGE(index(GOOGLEFINANCE(""NSE:""&amp;$A174, ""close"", today()-22, today()-1), , 2))"),"#N/A")</f>
        <v>#N/A</v>
      </c>
      <c r="N174" s="13" t="str">
        <f t="shared" ca="1" si="42"/>
        <v>No_Action</v>
      </c>
      <c r="O174" s="13" t="str">
        <f t="shared" ca="1" si="43"/>
        <v>No_Action</v>
      </c>
      <c r="P174" s="13" t="str">
        <f t="shared" ca="1" si="44"/>
        <v>No_Action</v>
      </c>
      <c r="Q174" s="13" t="str">
        <f t="shared" ca="1" si="45"/>
        <v>No_Action</v>
      </c>
      <c r="R174" s="15"/>
      <c r="S174" s="15" t="str">
        <f t="shared" ca="1" si="46"/>
        <v>NoNo</v>
      </c>
      <c r="T174" s="15"/>
      <c r="U174" s="15">
        <f t="shared" ca="1" si="47"/>
        <v>0</v>
      </c>
      <c r="V174" s="15">
        <f t="shared" ca="1" si="48"/>
        <v>0</v>
      </c>
      <c r="W174" s="15" t="str">
        <f t="shared" ca="1" si="49"/>
        <v>No_Action</v>
      </c>
      <c r="X174" s="15"/>
      <c r="Y174" s="15" t="str">
        <f t="shared" ca="1" si="50"/>
        <v>No_Action</v>
      </c>
      <c r="Z174" s="15">
        <f t="shared" ca="1" si="51"/>
        <v>0</v>
      </c>
      <c r="AA174" s="15">
        <f t="shared" ca="1" si="52"/>
        <v>0</v>
      </c>
      <c r="AB174" s="15"/>
      <c r="AC174" s="15" t="str">
        <f t="shared" ca="1" si="53"/>
        <v>NoNo</v>
      </c>
      <c r="AD174" s="15"/>
      <c r="AE174" s="15">
        <f t="shared" ca="1" si="54"/>
        <v>0</v>
      </c>
      <c r="AF174" s="16">
        <f t="shared" ca="1" si="55"/>
        <v>0</v>
      </c>
      <c r="AG174" s="16" t="str">
        <f t="shared" ca="1" si="56"/>
        <v>No_Action</v>
      </c>
      <c r="AH174" s="15"/>
      <c r="AI174" s="15" t="str">
        <f t="shared" ca="1" si="57"/>
        <v>No_Action</v>
      </c>
      <c r="AJ174" s="15">
        <f t="shared" ca="1" si="58"/>
        <v>0</v>
      </c>
      <c r="AK174" s="15">
        <f t="shared" ca="1" si="59"/>
        <v>0</v>
      </c>
    </row>
    <row r="175" spans="1:37" ht="14.5" customHeight="1" x14ac:dyDescent="0.35">
      <c r="A175" s="12" t="s">
        <v>191</v>
      </c>
      <c r="B175" s="13">
        <f ca="1">IFERROR(__xludf.DUMMYFUNCTION("GOOGLEFINANCE(""NSE:""&amp;A175,""PRICE"")"),984.8)</f>
        <v>984.8</v>
      </c>
      <c r="C175" s="13">
        <f ca="1">IFERROR(__xludf.DUMMYFUNCTION("GOOGLEFINANCE(""NSE:""&amp;A175,""PRICEOPEN"")"),955)</f>
        <v>955</v>
      </c>
      <c r="D175" s="13">
        <f ca="1">IFERROR(__xludf.DUMMYFUNCTION("GOOGLEFINANCE(""NSE:""&amp;A175,""HIGH"")"),1006.6)</f>
        <v>1006.6</v>
      </c>
      <c r="E175" s="13">
        <f ca="1">IFERROR(__xludf.DUMMYFUNCTION("GOOGLEFINANCE(""NSE:""&amp;A175,""LOW"")"),955)</f>
        <v>955</v>
      </c>
      <c r="F175" s="13">
        <f ca="1">IFERROR(__xludf.DUMMYFUNCTION("GOOGLEFINANCE(""NSE:""&amp;A175,""closeyest"")"),946.9)</f>
        <v>946.9</v>
      </c>
      <c r="G175" s="14">
        <f t="shared" ca="1" si="40"/>
        <v>3.0259951259138867E-2</v>
      </c>
      <c r="H175" s="13">
        <f ca="1">IFERROR(__xludf.DUMMYFUNCTION("GOOGLEFINANCE(""NSE:""&amp;A175,""VOLUME"")"),130189)</f>
        <v>130189</v>
      </c>
      <c r="I175" s="13" t="str">
        <f ca="1">IFERROR(__xludf.DUMMYFUNCTION("AVERAGE(index(GOOGLEFINANCE(""NSE:""&amp;$A175, ""volume"", today()-21, today()-1), , 2))"),"#N/A")</f>
        <v>#N/A</v>
      </c>
      <c r="J175" s="14" t="e">
        <f t="shared" ca="1" si="41"/>
        <v>#VALUE!</v>
      </c>
      <c r="K175" s="13" t="str">
        <f ca="1">IFERROR(__xludf.DUMMYFUNCTION("AVERAGE(index(GOOGLEFINANCE(""NSE:""&amp;$A175, ""close"", today()-6, today()-1), , 2))"),"#N/A")</f>
        <v>#N/A</v>
      </c>
      <c r="L175" s="13" t="str">
        <f ca="1">IFERROR(__xludf.DUMMYFUNCTION("AVERAGE(index(GOOGLEFINANCE(""NSE:""&amp;$A175, ""close"", today()-14, today()-1), , 2))"),"#N/A")</f>
        <v>#N/A</v>
      </c>
      <c r="M175" s="13" t="str">
        <f ca="1">IFERROR(__xludf.DUMMYFUNCTION("AVERAGE(index(GOOGLEFINANCE(""NSE:""&amp;$A175, ""close"", today()-22, today()-1), , 2))"),"#N/A")</f>
        <v>#N/A</v>
      </c>
      <c r="N175" s="13" t="str">
        <f t="shared" ca="1" si="42"/>
        <v>No_Action</v>
      </c>
      <c r="O175" s="13" t="str">
        <f t="shared" ca="1" si="43"/>
        <v>No_Action</v>
      </c>
      <c r="P175" s="13" t="str">
        <f t="shared" ca="1" si="44"/>
        <v>No_Action</v>
      </c>
      <c r="Q175" s="13" t="str">
        <f t="shared" ca="1" si="45"/>
        <v>No_Action</v>
      </c>
      <c r="R175" s="15"/>
      <c r="S175" s="15" t="str">
        <f t="shared" ca="1" si="46"/>
        <v>NoNo</v>
      </c>
      <c r="T175" s="15"/>
      <c r="U175" s="15">
        <f t="shared" ca="1" si="47"/>
        <v>0</v>
      </c>
      <c r="V175" s="15">
        <f t="shared" ca="1" si="48"/>
        <v>0</v>
      </c>
      <c r="W175" s="15" t="str">
        <f t="shared" ca="1" si="49"/>
        <v>No_Action</v>
      </c>
      <c r="X175" s="15"/>
      <c r="Y175" s="15" t="str">
        <f t="shared" ca="1" si="50"/>
        <v>No_Action</v>
      </c>
      <c r="Z175" s="15">
        <f t="shared" ca="1" si="51"/>
        <v>0</v>
      </c>
      <c r="AA175" s="15">
        <f t="shared" ca="1" si="52"/>
        <v>0</v>
      </c>
      <c r="AB175" s="15"/>
      <c r="AC175" s="15" t="str">
        <f t="shared" ca="1" si="53"/>
        <v>NoNo</v>
      </c>
      <c r="AD175" s="15"/>
      <c r="AE175" s="15">
        <f t="shared" ca="1" si="54"/>
        <v>0</v>
      </c>
      <c r="AF175" s="16">
        <f t="shared" ca="1" si="55"/>
        <v>0</v>
      </c>
      <c r="AG175" s="16" t="str">
        <f t="shared" ca="1" si="56"/>
        <v>No_Action</v>
      </c>
      <c r="AH175" s="15"/>
      <c r="AI175" s="15" t="str">
        <f t="shared" ca="1" si="57"/>
        <v>No_Action</v>
      </c>
      <c r="AJ175" s="15">
        <f t="shared" ca="1" si="58"/>
        <v>0</v>
      </c>
      <c r="AK175" s="15">
        <f t="shared" ca="1" si="59"/>
        <v>0</v>
      </c>
    </row>
    <row r="176" spans="1:37" ht="14.5" customHeight="1" x14ac:dyDescent="0.35">
      <c r="A176" s="12" t="s">
        <v>192</v>
      </c>
      <c r="B176" s="13">
        <f ca="1">IFERROR(__xludf.DUMMYFUNCTION("GOOGLEFINANCE(""NSE:""&amp;A176,""PRICE"")"),274.5)</f>
        <v>274.5</v>
      </c>
      <c r="C176" s="13">
        <f ca="1">IFERROR(__xludf.DUMMYFUNCTION("GOOGLEFINANCE(""NSE:""&amp;A176,""PRICEOPEN"")"),277.9)</f>
        <v>277.89999999999998</v>
      </c>
      <c r="D176" s="13">
        <f ca="1">IFERROR(__xludf.DUMMYFUNCTION("GOOGLEFINANCE(""NSE:""&amp;A176,""HIGH"")"),279)</f>
        <v>279</v>
      </c>
      <c r="E176" s="13">
        <f ca="1">IFERROR(__xludf.DUMMYFUNCTION("GOOGLEFINANCE(""NSE:""&amp;A176,""LOW"")"),271.1)</f>
        <v>271.10000000000002</v>
      </c>
      <c r="F176" s="13">
        <f ca="1">IFERROR(__xludf.DUMMYFUNCTION("GOOGLEFINANCE(""NSE:""&amp;A176,""closeyest"")"),277.85)</f>
        <v>277.85000000000002</v>
      </c>
      <c r="G176" s="14">
        <f t="shared" ca="1" si="40"/>
        <v>-1.2386156648451647E-2</v>
      </c>
      <c r="H176" s="13">
        <f ca="1">IFERROR(__xludf.DUMMYFUNCTION("GOOGLEFINANCE(""NSE:""&amp;A176,""VOLUME"")"),178865)</f>
        <v>178865</v>
      </c>
      <c r="I176" s="13" t="str">
        <f ca="1">IFERROR(__xludf.DUMMYFUNCTION("AVERAGE(index(GOOGLEFINANCE(""NSE:""&amp;$A176, ""volume"", today()-21, today()-1), , 2))"),"#N/A")</f>
        <v>#N/A</v>
      </c>
      <c r="J176" s="14" t="e">
        <f t="shared" ca="1" si="41"/>
        <v>#VALUE!</v>
      </c>
      <c r="K176" s="13" t="str">
        <f ca="1">IFERROR(__xludf.DUMMYFUNCTION("AVERAGE(index(GOOGLEFINANCE(""NSE:""&amp;$A176, ""close"", today()-6, today()-1), , 2))"),"#N/A")</f>
        <v>#N/A</v>
      </c>
      <c r="L176" s="13" t="str">
        <f ca="1">IFERROR(__xludf.DUMMYFUNCTION("AVERAGE(index(GOOGLEFINANCE(""NSE:""&amp;$A176, ""close"", today()-14, today()-1), , 2))"),"#N/A")</f>
        <v>#N/A</v>
      </c>
      <c r="M176" s="13" t="str">
        <f ca="1">IFERROR(__xludf.DUMMYFUNCTION("AVERAGE(index(GOOGLEFINANCE(""NSE:""&amp;$A176, ""close"", today()-22, today()-1), , 2))"),"#N/A")</f>
        <v>#N/A</v>
      </c>
      <c r="N176" s="13" t="str">
        <f t="shared" ca="1" si="42"/>
        <v>No_Action</v>
      </c>
      <c r="O176" s="13" t="str">
        <f t="shared" ca="1" si="43"/>
        <v>No_Action</v>
      </c>
      <c r="P176" s="13" t="str">
        <f t="shared" ca="1" si="44"/>
        <v>No_Action</v>
      </c>
      <c r="Q176" s="13" t="str">
        <f t="shared" ca="1" si="45"/>
        <v>No_Action</v>
      </c>
      <c r="R176" s="15"/>
      <c r="S176" s="15" t="str">
        <f t="shared" ca="1" si="46"/>
        <v>NoNo</v>
      </c>
      <c r="T176" s="15"/>
      <c r="U176" s="15">
        <f t="shared" ca="1" si="47"/>
        <v>0</v>
      </c>
      <c r="V176" s="15">
        <f t="shared" ca="1" si="48"/>
        <v>0</v>
      </c>
      <c r="W176" s="15" t="str">
        <f t="shared" ca="1" si="49"/>
        <v>No_Action</v>
      </c>
      <c r="X176" s="15"/>
      <c r="Y176" s="15" t="str">
        <f t="shared" ca="1" si="50"/>
        <v>No_Action</v>
      </c>
      <c r="Z176" s="15">
        <f t="shared" ca="1" si="51"/>
        <v>0</v>
      </c>
      <c r="AA176" s="15">
        <f t="shared" ca="1" si="52"/>
        <v>0</v>
      </c>
      <c r="AB176" s="15"/>
      <c r="AC176" s="15" t="str">
        <f t="shared" ca="1" si="53"/>
        <v>NoNo</v>
      </c>
      <c r="AD176" s="15"/>
      <c r="AE176" s="15">
        <f t="shared" ca="1" si="54"/>
        <v>0</v>
      </c>
      <c r="AF176" s="16">
        <f t="shared" ca="1" si="55"/>
        <v>0</v>
      </c>
      <c r="AG176" s="16" t="str">
        <f t="shared" ca="1" si="56"/>
        <v>No_Action</v>
      </c>
      <c r="AH176" s="15"/>
      <c r="AI176" s="15" t="str">
        <f t="shared" ca="1" si="57"/>
        <v>No_Action</v>
      </c>
      <c r="AJ176" s="15">
        <f t="shared" ca="1" si="58"/>
        <v>0</v>
      </c>
      <c r="AK176" s="15">
        <f t="shared" ca="1" si="59"/>
        <v>0</v>
      </c>
    </row>
    <row r="177" spans="1:37" ht="14.5" customHeight="1" x14ac:dyDescent="0.35">
      <c r="A177" s="12" t="s">
        <v>193</v>
      </c>
      <c r="B177" s="13">
        <f ca="1">IFERROR(__xludf.DUMMYFUNCTION("GOOGLEFINANCE(""NSE:""&amp;A177,""PRICE"")"),940.1)</f>
        <v>940.1</v>
      </c>
      <c r="C177" s="13">
        <f ca="1">IFERROR(__xludf.DUMMYFUNCTION("GOOGLEFINANCE(""NSE:""&amp;A177,""PRICEOPEN"")"),946.5)</f>
        <v>946.5</v>
      </c>
      <c r="D177" s="13">
        <f ca="1">IFERROR(__xludf.DUMMYFUNCTION("GOOGLEFINANCE(""NSE:""&amp;A177,""HIGH"")"),954.75)</f>
        <v>954.75</v>
      </c>
      <c r="E177" s="13">
        <f ca="1">IFERROR(__xludf.DUMMYFUNCTION("GOOGLEFINANCE(""NSE:""&amp;A177,""LOW"")"),931.55)</f>
        <v>931.55</v>
      </c>
      <c r="F177" s="13">
        <f ca="1">IFERROR(__xludf.DUMMYFUNCTION("GOOGLEFINANCE(""NSE:""&amp;A177,""closeyest"")"),939.1)</f>
        <v>939.1</v>
      </c>
      <c r="G177" s="14">
        <f t="shared" ca="1" si="40"/>
        <v>-6.8077864057014964E-3</v>
      </c>
      <c r="H177" s="13">
        <f ca="1">IFERROR(__xludf.DUMMYFUNCTION("GOOGLEFINANCE(""NSE:""&amp;A177,""VOLUME"")"),62678)</f>
        <v>62678</v>
      </c>
      <c r="I177" s="13" t="str">
        <f ca="1">IFERROR(__xludf.DUMMYFUNCTION("AVERAGE(index(GOOGLEFINANCE(""NSE:""&amp;$A177, ""volume"", today()-21, today()-1), , 2))"),"#N/A")</f>
        <v>#N/A</v>
      </c>
      <c r="J177" s="14" t="e">
        <f t="shared" ca="1" si="41"/>
        <v>#VALUE!</v>
      </c>
      <c r="K177" s="13" t="str">
        <f ca="1">IFERROR(__xludf.DUMMYFUNCTION("AVERAGE(index(GOOGLEFINANCE(""NSE:""&amp;$A177, ""close"", today()-6, today()-1), , 2))"),"#N/A")</f>
        <v>#N/A</v>
      </c>
      <c r="L177" s="13" t="str">
        <f ca="1">IFERROR(__xludf.DUMMYFUNCTION("AVERAGE(index(GOOGLEFINANCE(""NSE:""&amp;$A177, ""close"", today()-14, today()-1), , 2))"),"#N/A")</f>
        <v>#N/A</v>
      </c>
      <c r="M177" s="13" t="str">
        <f ca="1">IFERROR(__xludf.DUMMYFUNCTION("AVERAGE(index(GOOGLEFINANCE(""NSE:""&amp;$A177, ""close"", today()-22, today()-1), , 2))"),"#N/A")</f>
        <v>#N/A</v>
      </c>
      <c r="N177" s="13" t="str">
        <f t="shared" ca="1" si="42"/>
        <v>No_Action</v>
      </c>
      <c r="O177" s="13" t="str">
        <f t="shared" ca="1" si="43"/>
        <v>No_Action</v>
      </c>
      <c r="P177" s="13" t="str">
        <f t="shared" ca="1" si="44"/>
        <v>No_Action</v>
      </c>
      <c r="Q177" s="13" t="str">
        <f t="shared" ca="1" si="45"/>
        <v>No_Action</v>
      </c>
      <c r="R177" s="15"/>
      <c r="S177" s="15" t="str">
        <f t="shared" ca="1" si="46"/>
        <v>NoNo</v>
      </c>
      <c r="T177" s="15"/>
      <c r="U177" s="15">
        <f t="shared" ca="1" si="47"/>
        <v>0</v>
      </c>
      <c r="V177" s="15">
        <f t="shared" ca="1" si="48"/>
        <v>0</v>
      </c>
      <c r="W177" s="15" t="str">
        <f t="shared" ca="1" si="49"/>
        <v>No_Action</v>
      </c>
      <c r="X177" s="15"/>
      <c r="Y177" s="15" t="str">
        <f t="shared" ca="1" si="50"/>
        <v>No_Action</v>
      </c>
      <c r="Z177" s="15">
        <f t="shared" ca="1" si="51"/>
        <v>0</v>
      </c>
      <c r="AA177" s="15">
        <f t="shared" ca="1" si="52"/>
        <v>0</v>
      </c>
      <c r="AB177" s="15"/>
      <c r="AC177" s="15" t="str">
        <f t="shared" ca="1" si="53"/>
        <v>NoNo</v>
      </c>
      <c r="AD177" s="15"/>
      <c r="AE177" s="15">
        <f t="shared" ca="1" si="54"/>
        <v>0</v>
      </c>
      <c r="AF177" s="16">
        <f t="shared" ca="1" si="55"/>
        <v>0</v>
      </c>
      <c r="AG177" s="16" t="str">
        <f t="shared" ca="1" si="56"/>
        <v>No_Action</v>
      </c>
      <c r="AH177" s="15"/>
      <c r="AI177" s="15" t="str">
        <f t="shared" ca="1" si="57"/>
        <v>No_Action</v>
      </c>
      <c r="AJ177" s="15">
        <f t="shared" ca="1" si="58"/>
        <v>0</v>
      </c>
      <c r="AK177" s="15">
        <f t="shared" ca="1" si="59"/>
        <v>0</v>
      </c>
    </row>
    <row r="178" spans="1:37" ht="14.5" customHeight="1" x14ac:dyDescent="0.35">
      <c r="A178" s="12" t="s">
        <v>194</v>
      </c>
      <c r="B178" s="13">
        <f ca="1">IFERROR(__xludf.DUMMYFUNCTION("GOOGLEFINANCE(""NSE:""&amp;A178,""PRICE"")"),6300)</f>
        <v>6300</v>
      </c>
      <c r="C178" s="13">
        <f ca="1">IFERROR(__xludf.DUMMYFUNCTION("GOOGLEFINANCE(""NSE:""&amp;A178,""PRICEOPEN"")"),6250)</f>
        <v>6250</v>
      </c>
      <c r="D178" s="13">
        <f ca="1">IFERROR(__xludf.DUMMYFUNCTION("GOOGLEFINANCE(""NSE:""&amp;A178,""HIGH"")"),6322.75)</f>
        <v>6322.75</v>
      </c>
      <c r="E178" s="13">
        <f ca="1">IFERROR(__xludf.DUMMYFUNCTION("GOOGLEFINANCE(""NSE:""&amp;A178,""LOW"")"),6191)</f>
        <v>6191</v>
      </c>
      <c r="F178" s="13">
        <f ca="1">IFERROR(__xludf.DUMMYFUNCTION("GOOGLEFINANCE(""NSE:""&amp;A178,""closeyest"")"),6232.7)</f>
        <v>6232.7</v>
      </c>
      <c r="G178" s="14">
        <f t="shared" ca="1" si="40"/>
        <v>7.9365079365079361E-3</v>
      </c>
      <c r="H178" s="13">
        <f ca="1">IFERROR(__xludf.DUMMYFUNCTION("GOOGLEFINANCE(""NSE:""&amp;A178,""VOLUME"")"),247257)</f>
        <v>247257</v>
      </c>
      <c r="I178" s="13" t="str">
        <f ca="1">IFERROR(__xludf.DUMMYFUNCTION("AVERAGE(index(GOOGLEFINANCE(""NSE:""&amp;$A178, ""volume"", today()-21, today()-1), , 2))"),"#N/A")</f>
        <v>#N/A</v>
      </c>
      <c r="J178" s="14" t="e">
        <f t="shared" ca="1" si="41"/>
        <v>#VALUE!</v>
      </c>
      <c r="K178" s="13" t="str">
        <f ca="1">IFERROR(__xludf.DUMMYFUNCTION("AVERAGE(index(GOOGLEFINANCE(""NSE:""&amp;$A178, ""close"", today()-6, today()-1), , 2))"),"#N/A")</f>
        <v>#N/A</v>
      </c>
      <c r="L178" s="13" t="str">
        <f ca="1">IFERROR(__xludf.DUMMYFUNCTION("AVERAGE(index(GOOGLEFINANCE(""NSE:""&amp;$A178, ""close"", today()-14, today()-1), , 2))"),"#N/A")</f>
        <v>#N/A</v>
      </c>
      <c r="M178" s="13" t="str">
        <f ca="1">IFERROR(__xludf.DUMMYFUNCTION("AVERAGE(index(GOOGLEFINANCE(""NSE:""&amp;$A178, ""close"", today()-22, today()-1), , 2))"),"#N/A")</f>
        <v>#N/A</v>
      </c>
      <c r="N178" s="13" t="str">
        <f t="shared" ca="1" si="42"/>
        <v>No_Action</v>
      </c>
      <c r="O178" s="13" t="str">
        <f t="shared" ca="1" si="43"/>
        <v>No_Action</v>
      </c>
      <c r="P178" s="13" t="str">
        <f t="shared" ca="1" si="44"/>
        <v>No_Action</v>
      </c>
      <c r="Q178" s="13" t="str">
        <f t="shared" ca="1" si="45"/>
        <v>No_Action</v>
      </c>
      <c r="R178" s="15"/>
      <c r="S178" s="15" t="str">
        <f t="shared" ca="1" si="46"/>
        <v>NoNo</v>
      </c>
      <c r="T178" s="15"/>
      <c r="U178" s="15">
        <f t="shared" ca="1" si="47"/>
        <v>0</v>
      </c>
      <c r="V178" s="15">
        <f t="shared" ca="1" si="48"/>
        <v>0</v>
      </c>
      <c r="W178" s="15" t="str">
        <f t="shared" ca="1" si="49"/>
        <v>No_Action</v>
      </c>
      <c r="X178" s="15"/>
      <c r="Y178" s="15" t="str">
        <f t="shared" ca="1" si="50"/>
        <v>No_Action</v>
      </c>
      <c r="Z178" s="15">
        <f t="shared" ca="1" si="51"/>
        <v>0</v>
      </c>
      <c r="AA178" s="15">
        <f t="shared" ca="1" si="52"/>
        <v>0</v>
      </c>
      <c r="AB178" s="15"/>
      <c r="AC178" s="15" t="str">
        <f t="shared" ca="1" si="53"/>
        <v>NoNo</v>
      </c>
      <c r="AD178" s="15"/>
      <c r="AE178" s="15">
        <f t="shared" ca="1" si="54"/>
        <v>0</v>
      </c>
      <c r="AF178" s="16">
        <f t="shared" ca="1" si="55"/>
        <v>0</v>
      </c>
      <c r="AG178" s="16" t="str">
        <f t="shared" ca="1" si="56"/>
        <v>No_Action</v>
      </c>
      <c r="AH178" s="15"/>
      <c r="AI178" s="15" t="str">
        <f t="shared" ca="1" si="57"/>
        <v>No_Action</v>
      </c>
      <c r="AJ178" s="15">
        <f t="shared" ca="1" si="58"/>
        <v>0</v>
      </c>
      <c r="AK178" s="15">
        <f t="shared" ca="1" si="59"/>
        <v>0</v>
      </c>
    </row>
    <row r="179" spans="1:37" ht="14.5" customHeight="1" x14ac:dyDescent="0.35">
      <c r="A179" s="12" t="s">
        <v>195</v>
      </c>
      <c r="B179" s="13">
        <f ca="1">IFERROR(__xludf.DUMMYFUNCTION("GOOGLEFINANCE(""NSE:""&amp;A179,""PRICE"")"),2940)</f>
        <v>2940</v>
      </c>
      <c r="C179" s="13">
        <f ca="1">IFERROR(__xludf.DUMMYFUNCTION("GOOGLEFINANCE(""NSE:""&amp;A179,""PRICEOPEN"")"),2942.2)</f>
        <v>2942.2</v>
      </c>
      <c r="D179" s="13">
        <f ca="1">IFERROR(__xludf.DUMMYFUNCTION("GOOGLEFINANCE(""NSE:""&amp;A179,""HIGH"")"),2980)</f>
        <v>2980</v>
      </c>
      <c r="E179" s="13">
        <f ca="1">IFERROR(__xludf.DUMMYFUNCTION("GOOGLEFINANCE(""NSE:""&amp;A179,""LOW"")"),2895)</f>
        <v>2895</v>
      </c>
      <c r="F179" s="13">
        <f ca="1">IFERROR(__xludf.DUMMYFUNCTION("GOOGLEFINANCE(""NSE:""&amp;A179,""closeyest"")"),2942.2)</f>
        <v>2942.2</v>
      </c>
      <c r="G179" s="14">
        <f t="shared" ca="1" si="40"/>
        <v>-7.4829931972782929E-4</v>
      </c>
      <c r="H179" s="13">
        <f ca="1">IFERROR(__xludf.DUMMYFUNCTION("GOOGLEFINANCE(""NSE:""&amp;A179,""VOLUME"")"),12320)</f>
        <v>12320</v>
      </c>
      <c r="I179" s="13" t="str">
        <f ca="1">IFERROR(__xludf.DUMMYFUNCTION("AVERAGE(index(GOOGLEFINANCE(""NSE:""&amp;$A179, ""volume"", today()-21, today()-1), , 2))"),"#N/A")</f>
        <v>#N/A</v>
      </c>
      <c r="J179" s="14" t="e">
        <f t="shared" ca="1" si="41"/>
        <v>#VALUE!</v>
      </c>
      <c r="K179" s="13" t="str">
        <f ca="1">IFERROR(__xludf.DUMMYFUNCTION("AVERAGE(index(GOOGLEFINANCE(""NSE:""&amp;$A179, ""close"", today()-6, today()-1), , 2))"),"#N/A")</f>
        <v>#N/A</v>
      </c>
      <c r="L179" s="13" t="str">
        <f ca="1">IFERROR(__xludf.DUMMYFUNCTION("AVERAGE(index(GOOGLEFINANCE(""NSE:""&amp;$A179, ""close"", today()-14, today()-1), , 2))"),"#N/A")</f>
        <v>#N/A</v>
      </c>
      <c r="M179" s="13" t="str">
        <f ca="1">IFERROR(__xludf.DUMMYFUNCTION("AVERAGE(index(GOOGLEFINANCE(""NSE:""&amp;$A179, ""close"", today()-22, today()-1), , 2))"),"#N/A")</f>
        <v>#N/A</v>
      </c>
      <c r="N179" s="13" t="str">
        <f t="shared" ca="1" si="42"/>
        <v>No_Action</v>
      </c>
      <c r="O179" s="13" t="str">
        <f t="shared" ca="1" si="43"/>
        <v>No_Action</v>
      </c>
      <c r="P179" s="13" t="str">
        <f t="shared" ca="1" si="44"/>
        <v>No_Action</v>
      </c>
      <c r="Q179" s="13" t="str">
        <f t="shared" ca="1" si="45"/>
        <v>No_Action</v>
      </c>
      <c r="R179" s="15"/>
      <c r="S179" s="15" t="str">
        <f t="shared" ca="1" si="46"/>
        <v>NoNo</v>
      </c>
      <c r="T179" s="15"/>
      <c r="U179" s="15">
        <f t="shared" ca="1" si="47"/>
        <v>0</v>
      </c>
      <c r="V179" s="15">
        <f t="shared" ca="1" si="48"/>
        <v>0</v>
      </c>
      <c r="W179" s="15" t="str">
        <f t="shared" ca="1" si="49"/>
        <v>No_Action</v>
      </c>
      <c r="X179" s="15"/>
      <c r="Y179" s="15" t="str">
        <f t="shared" ca="1" si="50"/>
        <v>No_Action</v>
      </c>
      <c r="Z179" s="15">
        <f t="shared" ca="1" si="51"/>
        <v>0</v>
      </c>
      <c r="AA179" s="15">
        <f t="shared" ca="1" si="52"/>
        <v>0</v>
      </c>
      <c r="AB179" s="15"/>
      <c r="AC179" s="15" t="str">
        <f t="shared" ca="1" si="53"/>
        <v>NoNo</v>
      </c>
      <c r="AD179" s="15"/>
      <c r="AE179" s="15">
        <f t="shared" ca="1" si="54"/>
        <v>0</v>
      </c>
      <c r="AF179" s="16">
        <f t="shared" ca="1" si="55"/>
        <v>0</v>
      </c>
      <c r="AG179" s="16" t="str">
        <f t="shared" ca="1" si="56"/>
        <v>No_Action</v>
      </c>
      <c r="AH179" s="15"/>
      <c r="AI179" s="15" t="str">
        <f t="shared" ca="1" si="57"/>
        <v>No_Action</v>
      </c>
      <c r="AJ179" s="15">
        <f t="shared" ca="1" si="58"/>
        <v>0</v>
      </c>
      <c r="AK179" s="15">
        <f t="shared" ca="1" si="59"/>
        <v>0</v>
      </c>
    </row>
    <row r="180" spans="1:37" ht="14.5" customHeight="1" x14ac:dyDescent="0.35">
      <c r="A180" s="12" t="s">
        <v>196</v>
      </c>
      <c r="B180" s="13">
        <f ca="1">IFERROR(__xludf.DUMMYFUNCTION("GOOGLEFINANCE(""NSE:""&amp;A180,""PRICE"")"),4479.9)</f>
        <v>4479.8999999999996</v>
      </c>
      <c r="C180" s="13">
        <f ca="1">IFERROR(__xludf.DUMMYFUNCTION("GOOGLEFINANCE(""NSE:""&amp;A180,""PRICEOPEN"")"),4510)</f>
        <v>4510</v>
      </c>
      <c r="D180" s="13">
        <f ca="1">IFERROR(__xludf.DUMMYFUNCTION("GOOGLEFINANCE(""NSE:""&amp;A180,""HIGH"")"),4520)</f>
        <v>4520</v>
      </c>
      <c r="E180" s="13">
        <f ca="1">IFERROR(__xludf.DUMMYFUNCTION("GOOGLEFINANCE(""NSE:""&amp;A180,""LOW"")"),4471.05)</f>
        <v>4471.05</v>
      </c>
      <c r="F180" s="13">
        <f ca="1">IFERROR(__xludf.DUMMYFUNCTION("GOOGLEFINANCE(""NSE:""&amp;A180,""closeyest"")"),4500.35)</f>
        <v>4500.3500000000004</v>
      </c>
      <c r="G180" s="14">
        <f t="shared" ca="1" si="40"/>
        <v>-6.7188999754459622E-3</v>
      </c>
      <c r="H180" s="13">
        <f ca="1">IFERROR(__xludf.DUMMYFUNCTION("GOOGLEFINANCE(""NSE:""&amp;A180,""VOLUME"")"),226946)</f>
        <v>226946</v>
      </c>
      <c r="I180" s="13" t="str">
        <f ca="1">IFERROR(__xludf.DUMMYFUNCTION("AVERAGE(index(GOOGLEFINANCE(""NSE:""&amp;$A180, ""volume"", today()-21, today()-1), , 2))"),"#N/A")</f>
        <v>#N/A</v>
      </c>
      <c r="J180" s="14" t="e">
        <f t="shared" ca="1" si="41"/>
        <v>#VALUE!</v>
      </c>
      <c r="K180" s="13" t="str">
        <f ca="1">IFERROR(__xludf.DUMMYFUNCTION("AVERAGE(index(GOOGLEFINANCE(""NSE:""&amp;$A180, ""close"", today()-6, today()-1), , 2))"),"#N/A")</f>
        <v>#N/A</v>
      </c>
      <c r="L180" s="13" t="str">
        <f ca="1">IFERROR(__xludf.DUMMYFUNCTION("AVERAGE(index(GOOGLEFINANCE(""NSE:""&amp;$A180, ""close"", today()-14, today()-1), , 2))"),"#N/A")</f>
        <v>#N/A</v>
      </c>
      <c r="M180" s="13" t="str">
        <f ca="1">IFERROR(__xludf.DUMMYFUNCTION("AVERAGE(index(GOOGLEFINANCE(""NSE:""&amp;$A180, ""close"", today()-22, today()-1), , 2))"),"#N/A")</f>
        <v>#N/A</v>
      </c>
      <c r="N180" s="13" t="str">
        <f t="shared" ca="1" si="42"/>
        <v>No_Action</v>
      </c>
      <c r="O180" s="13" t="str">
        <f t="shared" ca="1" si="43"/>
        <v>No_Action</v>
      </c>
      <c r="P180" s="13" t="str">
        <f t="shared" ca="1" si="44"/>
        <v>No_Action</v>
      </c>
      <c r="Q180" s="13" t="str">
        <f t="shared" ca="1" si="45"/>
        <v>No_Action</v>
      </c>
      <c r="R180" s="15"/>
      <c r="S180" s="15" t="str">
        <f t="shared" ca="1" si="46"/>
        <v>NoNo</v>
      </c>
      <c r="T180" s="15"/>
      <c r="U180" s="15">
        <f t="shared" ca="1" si="47"/>
        <v>0</v>
      </c>
      <c r="V180" s="15">
        <f t="shared" ca="1" si="48"/>
        <v>0</v>
      </c>
      <c r="W180" s="15" t="str">
        <f t="shared" ca="1" si="49"/>
        <v>No_Action</v>
      </c>
      <c r="X180" s="15"/>
      <c r="Y180" s="15" t="str">
        <f t="shared" ca="1" si="50"/>
        <v>No_Action</v>
      </c>
      <c r="Z180" s="15">
        <f t="shared" ca="1" si="51"/>
        <v>0</v>
      </c>
      <c r="AA180" s="15">
        <f t="shared" ca="1" si="52"/>
        <v>0</v>
      </c>
      <c r="AB180" s="15"/>
      <c r="AC180" s="15" t="str">
        <f t="shared" ca="1" si="53"/>
        <v>NoNo</v>
      </c>
      <c r="AD180" s="15"/>
      <c r="AE180" s="15">
        <f t="shared" ca="1" si="54"/>
        <v>0</v>
      </c>
      <c r="AF180" s="16">
        <f t="shared" ca="1" si="55"/>
        <v>0</v>
      </c>
      <c r="AG180" s="16" t="str">
        <f t="shared" ca="1" si="56"/>
        <v>No_Action</v>
      </c>
      <c r="AH180" s="15"/>
      <c r="AI180" s="15" t="str">
        <f t="shared" ca="1" si="57"/>
        <v>No_Action</v>
      </c>
      <c r="AJ180" s="15">
        <f t="shared" ca="1" si="58"/>
        <v>0</v>
      </c>
      <c r="AK180" s="15">
        <f t="shared" ca="1" si="59"/>
        <v>0</v>
      </c>
    </row>
    <row r="181" spans="1:37" ht="14.5" customHeight="1" x14ac:dyDescent="0.35">
      <c r="A181" s="12" t="s">
        <v>197</v>
      </c>
      <c r="B181" s="13" t="str">
        <f ca="1">IFERROR(__xludf.DUMMYFUNCTION("GOOGLEFINANCE(""NSE:""&amp;A181,""PRICE"")"),"#N/A")</f>
        <v>#N/A</v>
      </c>
      <c r="C181" s="13" t="str">
        <f ca="1">IFERROR(__xludf.DUMMYFUNCTION("GOOGLEFINANCE(""NSE:""&amp;A181,""PRICEOPEN"")"),"#N/A")</f>
        <v>#N/A</v>
      </c>
      <c r="D181" s="13" t="str">
        <f ca="1">IFERROR(__xludf.DUMMYFUNCTION("GOOGLEFINANCE(""NSE:""&amp;A181,""HIGH"")"),"#N/A")</f>
        <v>#N/A</v>
      </c>
      <c r="E181" s="13" t="str">
        <f ca="1">IFERROR(__xludf.DUMMYFUNCTION("GOOGLEFINANCE(""NSE:""&amp;A181,""LOW"")"),"#N/A")</f>
        <v>#N/A</v>
      </c>
      <c r="F181" s="13" t="str">
        <f ca="1">IFERROR(__xludf.DUMMYFUNCTION("GOOGLEFINANCE(""NSE:""&amp;A181,""closeyest"")"),"#N/A")</f>
        <v>#N/A</v>
      </c>
      <c r="G181" s="14" t="e">
        <f t="shared" ca="1" si="40"/>
        <v>#VALUE!</v>
      </c>
      <c r="H181" s="13" t="str">
        <f ca="1">IFERROR(__xludf.DUMMYFUNCTION("GOOGLEFINANCE(""NSE:""&amp;A181,""VOLUME"")"),"#N/A")</f>
        <v>#N/A</v>
      </c>
      <c r="I181" s="13" t="str">
        <f ca="1">IFERROR(__xludf.DUMMYFUNCTION("AVERAGE(index(GOOGLEFINANCE(""NSE:""&amp;$A181, ""volume"", today()-21, today()-1), , 2))"),"#N/A")</f>
        <v>#N/A</v>
      </c>
      <c r="J181" s="14" t="e">
        <f t="shared" ca="1" si="41"/>
        <v>#VALUE!</v>
      </c>
      <c r="K181" s="13" t="str">
        <f ca="1">IFERROR(__xludf.DUMMYFUNCTION("AVERAGE(index(GOOGLEFINANCE(""NSE:""&amp;$A181, ""close"", today()-6, today()-1), , 2))"),"#N/A")</f>
        <v>#N/A</v>
      </c>
      <c r="L181" s="13" t="str">
        <f ca="1">IFERROR(__xludf.DUMMYFUNCTION("AVERAGE(index(GOOGLEFINANCE(""NSE:""&amp;$A181, ""close"", today()-14, today()-1), , 2))"),"#N/A")</f>
        <v>#N/A</v>
      </c>
      <c r="M181" s="13" t="str">
        <f ca="1">IFERROR(__xludf.DUMMYFUNCTION("AVERAGE(index(GOOGLEFINANCE(""NSE:""&amp;$A181, ""close"", today()-22, today()-1), , 2))"),"#N/A")</f>
        <v>#N/A</v>
      </c>
      <c r="N181" s="13" t="str">
        <f t="shared" ca="1" si="42"/>
        <v>No_Action</v>
      </c>
      <c r="O181" s="13" t="str">
        <f t="shared" ca="1" si="43"/>
        <v>No_Action</v>
      </c>
      <c r="P181" s="13" t="str">
        <f t="shared" ca="1" si="44"/>
        <v>No_Action</v>
      </c>
      <c r="Q181" s="13" t="str">
        <f t="shared" ca="1" si="45"/>
        <v>No_Action</v>
      </c>
      <c r="R181" s="15"/>
      <c r="S181" s="15" t="str">
        <f t="shared" ca="1" si="46"/>
        <v>NoNo</v>
      </c>
      <c r="T181" s="15"/>
      <c r="U181" s="15">
        <f t="shared" ca="1" si="47"/>
        <v>0</v>
      </c>
      <c r="V181" s="15">
        <f t="shared" ca="1" si="48"/>
        <v>0</v>
      </c>
      <c r="W181" s="15" t="str">
        <f t="shared" ca="1" si="49"/>
        <v>No_Action</v>
      </c>
      <c r="X181" s="15"/>
      <c r="Y181" s="15" t="str">
        <f t="shared" ca="1" si="50"/>
        <v>No_Action</v>
      </c>
      <c r="Z181" s="15">
        <f t="shared" ca="1" si="51"/>
        <v>0</v>
      </c>
      <c r="AA181" s="15">
        <f t="shared" ca="1" si="52"/>
        <v>0</v>
      </c>
      <c r="AB181" s="15"/>
      <c r="AC181" s="15" t="str">
        <f t="shared" ca="1" si="53"/>
        <v>NoNo</v>
      </c>
      <c r="AD181" s="15"/>
      <c r="AE181" s="15">
        <f t="shared" ca="1" si="54"/>
        <v>0</v>
      </c>
      <c r="AF181" s="16">
        <f t="shared" ca="1" si="55"/>
        <v>0</v>
      </c>
      <c r="AG181" s="16" t="str">
        <f t="shared" ca="1" si="56"/>
        <v>No_Action</v>
      </c>
      <c r="AH181" s="15"/>
      <c r="AI181" s="15" t="str">
        <f t="shared" ca="1" si="57"/>
        <v>No_Action</v>
      </c>
      <c r="AJ181" s="15">
        <f t="shared" ca="1" si="58"/>
        <v>0</v>
      </c>
      <c r="AK181" s="15">
        <f t="shared" ca="1" si="59"/>
        <v>0</v>
      </c>
    </row>
    <row r="182" spans="1:37" ht="14.5" customHeight="1" x14ac:dyDescent="0.35">
      <c r="A182" s="12" t="s">
        <v>198</v>
      </c>
      <c r="B182" s="13">
        <f ca="1">IFERROR(__xludf.DUMMYFUNCTION("GOOGLEFINANCE(""NSE:""&amp;A182,""PRICE"")"),615)</f>
        <v>615</v>
      </c>
      <c r="C182" s="13">
        <f ca="1">IFERROR(__xludf.DUMMYFUNCTION("GOOGLEFINANCE(""NSE:""&amp;A182,""PRICEOPEN"")"),623.8)</f>
        <v>623.79999999999995</v>
      </c>
      <c r="D182" s="13">
        <f ca="1">IFERROR(__xludf.DUMMYFUNCTION("GOOGLEFINANCE(""NSE:""&amp;A182,""HIGH"")"),633.7)</f>
        <v>633.70000000000005</v>
      </c>
      <c r="E182" s="13">
        <f ca="1">IFERROR(__xludf.DUMMYFUNCTION("GOOGLEFINANCE(""NSE:""&amp;A182,""LOW"")"),609.95)</f>
        <v>609.95000000000005</v>
      </c>
      <c r="F182" s="13">
        <f ca="1">IFERROR(__xludf.DUMMYFUNCTION("GOOGLEFINANCE(""NSE:""&amp;A182,""closeyest"")"),616.8)</f>
        <v>616.79999999999995</v>
      </c>
      <c r="G182" s="14">
        <f t="shared" ca="1" si="40"/>
        <v>-1.430894308943082E-2</v>
      </c>
      <c r="H182" s="13">
        <f ca="1">IFERROR(__xludf.DUMMYFUNCTION("GOOGLEFINANCE(""NSE:""&amp;A182,""VOLUME"")"),64021)</f>
        <v>64021</v>
      </c>
      <c r="I182" s="13" t="str">
        <f ca="1">IFERROR(__xludf.DUMMYFUNCTION("AVERAGE(index(GOOGLEFINANCE(""NSE:""&amp;$A182, ""volume"", today()-21, today()-1), , 2))"),"#N/A")</f>
        <v>#N/A</v>
      </c>
      <c r="J182" s="14" t="e">
        <f t="shared" ca="1" si="41"/>
        <v>#VALUE!</v>
      </c>
      <c r="K182" s="13" t="str">
        <f ca="1">IFERROR(__xludf.DUMMYFUNCTION("AVERAGE(index(GOOGLEFINANCE(""NSE:""&amp;$A182, ""close"", today()-6, today()-1), , 2))"),"#N/A")</f>
        <v>#N/A</v>
      </c>
      <c r="L182" s="13" t="str">
        <f ca="1">IFERROR(__xludf.DUMMYFUNCTION("AVERAGE(index(GOOGLEFINANCE(""NSE:""&amp;$A182, ""close"", today()-14, today()-1), , 2))"),"#N/A")</f>
        <v>#N/A</v>
      </c>
      <c r="M182" s="13" t="str">
        <f ca="1">IFERROR(__xludf.DUMMYFUNCTION("AVERAGE(index(GOOGLEFINANCE(""NSE:""&amp;$A182, ""close"", today()-22, today()-1), , 2))"),"#N/A")</f>
        <v>#N/A</v>
      </c>
      <c r="N182" s="13" t="str">
        <f t="shared" ca="1" si="42"/>
        <v>No_Action</v>
      </c>
      <c r="O182" s="13" t="str">
        <f t="shared" ca="1" si="43"/>
        <v>No_Action</v>
      </c>
      <c r="P182" s="13" t="str">
        <f t="shared" ca="1" si="44"/>
        <v>No_Action</v>
      </c>
      <c r="Q182" s="13" t="str">
        <f t="shared" ca="1" si="45"/>
        <v>No_Action</v>
      </c>
      <c r="R182" s="15"/>
      <c r="S182" s="15" t="str">
        <f t="shared" ca="1" si="46"/>
        <v>NoNo</v>
      </c>
      <c r="T182" s="15"/>
      <c r="U182" s="15">
        <f t="shared" ca="1" si="47"/>
        <v>0</v>
      </c>
      <c r="V182" s="15">
        <f t="shared" ca="1" si="48"/>
        <v>0</v>
      </c>
      <c r="W182" s="15" t="str">
        <f t="shared" ca="1" si="49"/>
        <v>No_Action</v>
      </c>
      <c r="X182" s="15"/>
      <c r="Y182" s="15" t="str">
        <f t="shared" ca="1" si="50"/>
        <v>No_Action</v>
      </c>
      <c r="Z182" s="15">
        <f t="shared" ca="1" si="51"/>
        <v>0</v>
      </c>
      <c r="AA182" s="15">
        <f t="shared" ca="1" si="52"/>
        <v>0</v>
      </c>
      <c r="AB182" s="15"/>
      <c r="AC182" s="15" t="str">
        <f t="shared" ca="1" si="53"/>
        <v>NoNo</v>
      </c>
      <c r="AD182" s="15"/>
      <c r="AE182" s="15">
        <f t="shared" ca="1" si="54"/>
        <v>0</v>
      </c>
      <c r="AF182" s="16">
        <f t="shared" ca="1" si="55"/>
        <v>0</v>
      </c>
      <c r="AG182" s="16" t="str">
        <f t="shared" ca="1" si="56"/>
        <v>No_Action</v>
      </c>
      <c r="AH182" s="15"/>
      <c r="AI182" s="15" t="str">
        <f t="shared" ca="1" si="57"/>
        <v>No_Action</v>
      </c>
      <c r="AJ182" s="15">
        <f t="shared" ca="1" si="58"/>
        <v>0</v>
      </c>
      <c r="AK182" s="15">
        <f t="shared" ca="1" si="59"/>
        <v>0</v>
      </c>
    </row>
    <row r="183" spans="1:37" ht="14.5" customHeight="1" x14ac:dyDescent="0.35">
      <c r="A183" s="12" t="s">
        <v>199</v>
      </c>
      <c r="B183" s="13">
        <f ca="1">IFERROR(__xludf.DUMMYFUNCTION("GOOGLEFINANCE(""NSE:""&amp;A183,""PRICE"")"),1261.1)</f>
        <v>1261.0999999999999</v>
      </c>
      <c r="C183" s="13">
        <f ca="1">IFERROR(__xludf.DUMMYFUNCTION("GOOGLEFINANCE(""NSE:""&amp;A183,""PRICEOPEN"")"),1271.4)</f>
        <v>1271.4000000000001</v>
      </c>
      <c r="D183" s="13">
        <f ca="1">IFERROR(__xludf.DUMMYFUNCTION("GOOGLEFINANCE(""NSE:""&amp;A183,""HIGH"")"),1295.15)</f>
        <v>1295.1500000000001</v>
      </c>
      <c r="E183" s="13">
        <f ca="1">IFERROR(__xludf.DUMMYFUNCTION("GOOGLEFINANCE(""NSE:""&amp;A183,""LOW"")"),1251.75)</f>
        <v>1251.75</v>
      </c>
      <c r="F183" s="13">
        <f ca="1">IFERROR(__xludf.DUMMYFUNCTION("GOOGLEFINANCE(""NSE:""&amp;A183,""closeyest"")"),1271.4)</f>
        <v>1271.4000000000001</v>
      </c>
      <c r="G183" s="14">
        <f t="shared" ca="1" si="40"/>
        <v>-8.1674728411705519E-3</v>
      </c>
      <c r="H183" s="13">
        <f ca="1">IFERROR(__xludf.DUMMYFUNCTION("GOOGLEFINANCE(""NSE:""&amp;A183,""VOLUME"")"),743633)</f>
        <v>743633</v>
      </c>
      <c r="I183" s="13" t="str">
        <f ca="1">IFERROR(__xludf.DUMMYFUNCTION("AVERAGE(index(GOOGLEFINANCE(""NSE:""&amp;$A183, ""volume"", today()-21, today()-1), , 2))"),"#N/A")</f>
        <v>#N/A</v>
      </c>
      <c r="J183" s="14" t="e">
        <f t="shared" ca="1" si="41"/>
        <v>#VALUE!</v>
      </c>
      <c r="K183" s="13" t="str">
        <f ca="1">IFERROR(__xludf.DUMMYFUNCTION("AVERAGE(index(GOOGLEFINANCE(""NSE:""&amp;$A183, ""close"", today()-6, today()-1), , 2))"),"#N/A")</f>
        <v>#N/A</v>
      </c>
      <c r="L183" s="13" t="str">
        <f ca="1">IFERROR(__xludf.DUMMYFUNCTION("AVERAGE(index(GOOGLEFINANCE(""NSE:""&amp;$A183, ""close"", today()-14, today()-1), , 2))"),"#N/A")</f>
        <v>#N/A</v>
      </c>
      <c r="M183" s="13" t="str">
        <f ca="1">IFERROR(__xludf.DUMMYFUNCTION("AVERAGE(index(GOOGLEFINANCE(""NSE:""&amp;$A183, ""close"", today()-22, today()-1), , 2))"),"#N/A")</f>
        <v>#N/A</v>
      </c>
      <c r="N183" s="13" t="str">
        <f t="shared" ca="1" si="42"/>
        <v>No_Action</v>
      </c>
      <c r="O183" s="13" t="str">
        <f t="shared" ca="1" si="43"/>
        <v>No_Action</v>
      </c>
      <c r="P183" s="13" t="str">
        <f t="shared" ca="1" si="44"/>
        <v>No_Action</v>
      </c>
      <c r="Q183" s="13" t="str">
        <f t="shared" ca="1" si="45"/>
        <v>No_Action</v>
      </c>
      <c r="R183" s="15"/>
      <c r="S183" s="15" t="str">
        <f t="shared" ca="1" si="46"/>
        <v>NoNo</v>
      </c>
      <c r="T183" s="15"/>
      <c r="U183" s="15">
        <f t="shared" ca="1" si="47"/>
        <v>0</v>
      </c>
      <c r="V183" s="15">
        <f t="shared" ca="1" si="48"/>
        <v>0</v>
      </c>
      <c r="W183" s="15" t="str">
        <f t="shared" ca="1" si="49"/>
        <v>No_Action</v>
      </c>
      <c r="X183" s="15"/>
      <c r="Y183" s="15" t="str">
        <f t="shared" ca="1" si="50"/>
        <v>No_Action</v>
      </c>
      <c r="Z183" s="15">
        <f t="shared" ca="1" si="51"/>
        <v>0</v>
      </c>
      <c r="AA183" s="15">
        <f t="shared" ca="1" si="52"/>
        <v>0</v>
      </c>
      <c r="AB183" s="15"/>
      <c r="AC183" s="15" t="str">
        <f t="shared" ca="1" si="53"/>
        <v>NoNo</v>
      </c>
      <c r="AD183" s="15"/>
      <c r="AE183" s="15">
        <f t="shared" ca="1" si="54"/>
        <v>0</v>
      </c>
      <c r="AF183" s="16">
        <f t="shared" ca="1" si="55"/>
        <v>0</v>
      </c>
      <c r="AG183" s="16" t="str">
        <f t="shared" ca="1" si="56"/>
        <v>No_Action</v>
      </c>
      <c r="AH183" s="15"/>
      <c r="AI183" s="15" t="str">
        <f t="shared" ca="1" si="57"/>
        <v>No_Action</v>
      </c>
      <c r="AJ183" s="15">
        <f t="shared" ca="1" si="58"/>
        <v>0</v>
      </c>
      <c r="AK183" s="15">
        <f t="shared" ca="1" si="59"/>
        <v>0</v>
      </c>
    </row>
    <row r="184" spans="1:37" ht="14.5" customHeight="1" x14ac:dyDescent="0.35">
      <c r="A184" s="12" t="s">
        <v>200</v>
      </c>
      <c r="B184" s="13">
        <f ca="1">IFERROR(__xludf.DUMMYFUNCTION("GOOGLEFINANCE(""NSE:""&amp;A184,""PRICE"")"),602.9)</f>
        <v>602.9</v>
      </c>
      <c r="C184" s="13">
        <f ca="1">IFERROR(__xludf.DUMMYFUNCTION("GOOGLEFINANCE(""NSE:""&amp;A184,""PRICEOPEN"")"),605.3)</f>
        <v>605.29999999999995</v>
      </c>
      <c r="D184" s="13">
        <f ca="1">IFERROR(__xludf.DUMMYFUNCTION("GOOGLEFINANCE(""NSE:""&amp;A184,""HIGH"")"),625.85)</f>
        <v>625.85</v>
      </c>
      <c r="E184" s="13">
        <f ca="1">IFERROR(__xludf.DUMMYFUNCTION("GOOGLEFINANCE(""NSE:""&amp;A184,""LOW"")"),597.3)</f>
        <v>597.29999999999995</v>
      </c>
      <c r="F184" s="13">
        <f ca="1">IFERROR(__xludf.DUMMYFUNCTION("GOOGLEFINANCE(""NSE:""&amp;A184,""closeyest"")"),604.55)</f>
        <v>604.54999999999995</v>
      </c>
      <c r="G184" s="14">
        <f t="shared" ca="1" si="40"/>
        <v>-3.980759661635391E-3</v>
      </c>
      <c r="H184" s="13">
        <f ca="1">IFERROR(__xludf.DUMMYFUNCTION("GOOGLEFINANCE(""NSE:""&amp;A184,""VOLUME"")"),456548)</f>
        <v>456548</v>
      </c>
      <c r="I184" s="13" t="str">
        <f ca="1">IFERROR(__xludf.DUMMYFUNCTION("AVERAGE(index(GOOGLEFINANCE(""NSE:""&amp;$A184, ""volume"", today()-21, today()-1), , 2))"),"#N/A")</f>
        <v>#N/A</v>
      </c>
      <c r="J184" s="14" t="e">
        <f t="shared" ca="1" si="41"/>
        <v>#VALUE!</v>
      </c>
      <c r="K184" s="13" t="str">
        <f ca="1">IFERROR(__xludf.DUMMYFUNCTION("AVERAGE(index(GOOGLEFINANCE(""NSE:""&amp;$A184, ""close"", today()-6, today()-1), , 2))"),"#N/A")</f>
        <v>#N/A</v>
      </c>
      <c r="L184" s="13" t="str">
        <f ca="1">IFERROR(__xludf.DUMMYFUNCTION("AVERAGE(index(GOOGLEFINANCE(""NSE:""&amp;$A184, ""close"", today()-14, today()-1), , 2))"),"#N/A")</f>
        <v>#N/A</v>
      </c>
      <c r="M184" s="13" t="str">
        <f ca="1">IFERROR(__xludf.DUMMYFUNCTION("AVERAGE(index(GOOGLEFINANCE(""NSE:""&amp;$A184, ""close"", today()-22, today()-1), , 2))"),"#N/A")</f>
        <v>#N/A</v>
      </c>
      <c r="N184" s="13" t="str">
        <f t="shared" ca="1" si="42"/>
        <v>No_Action</v>
      </c>
      <c r="O184" s="13" t="str">
        <f t="shared" ca="1" si="43"/>
        <v>No_Action</v>
      </c>
      <c r="P184" s="13" t="str">
        <f t="shared" ca="1" si="44"/>
        <v>No_Action</v>
      </c>
      <c r="Q184" s="13" t="str">
        <f t="shared" ca="1" si="45"/>
        <v>No_Action</v>
      </c>
      <c r="R184" s="15"/>
      <c r="S184" s="15" t="str">
        <f t="shared" ca="1" si="46"/>
        <v>NoNo</v>
      </c>
      <c r="T184" s="15"/>
      <c r="U184" s="15">
        <f t="shared" ca="1" si="47"/>
        <v>0</v>
      </c>
      <c r="V184" s="15">
        <f t="shared" ca="1" si="48"/>
        <v>0</v>
      </c>
      <c r="W184" s="15" t="str">
        <f t="shared" ca="1" si="49"/>
        <v>No_Action</v>
      </c>
      <c r="X184" s="15"/>
      <c r="Y184" s="15" t="str">
        <f t="shared" ca="1" si="50"/>
        <v>No_Action</v>
      </c>
      <c r="Z184" s="15">
        <f t="shared" ca="1" si="51"/>
        <v>0</v>
      </c>
      <c r="AA184" s="15">
        <f t="shared" ca="1" si="52"/>
        <v>0</v>
      </c>
      <c r="AB184" s="15"/>
      <c r="AC184" s="15" t="str">
        <f t="shared" ca="1" si="53"/>
        <v>NoNo</v>
      </c>
      <c r="AD184" s="15"/>
      <c r="AE184" s="15">
        <f t="shared" ca="1" si="54"/>
        <v>0</v>
      </c>
      <c r="AF184" s="16">
        <f t="shared" ca="1" si="55"/>
        <v>0</v>
      </c>
      <c r="AG184" s="16" t="str">
        <f t="shared" ca="1" si="56"/>
        <v>No_Action</v>
      </c>
      <c r="AH184" s="15"/>
      <c r="AI184" s="15" t="str">
        <f t="shared" ca="1" si="57"/>
        <v>No_Action</v>
      </c>
      <c r="AJ184" s="15">
        <f t="shared" ca="1" si="58"/>
        <v>0</v>
      </c>
      <c r="AK184" s="15">
        <f t="shared" ca="1" si="59"/>
        <v>0</v>
      </c>
    </row>
    <row r="185" spans="1:37" ht="14.5" customHeight="1" x14ac:dyDescent="0.35">
      <c r="A185" s="12" t="s">
        <v>201</v>
      </c>
      <c r="B185" s="13" t="str">
        <f ca="1">IFERROR(__xludf.DUMMYFUNCTION("GOOGLEFINANCE(""NSE:""&amp;A185,""PRICE"")"),"#N/A")</f>
        <v>#N/A</v>
      </c>
      <c r="C185" s="13" t="str">
        <f ca="1">IFERROR(__xludf.DUMMYFUNCTION("GOOGLEFINANCE(""NSE:""&amp;A185,""PRICEOPEN"")"),"#N/A")</f>
        <v>#N/A</v>
      </c>
      <c r="D185" s="13" t="str">
        <f ca="1">IFERROR(__xludf.DUMMYFUNCTION("GOOGLEFINANCE(""NSE:""&amp;A185,""HIGH"")"),"#N/A")</f>
        <v>#N/A</v>
      </c>
      <c r="E185" s="13" t="str">
        <f ca="1">IFERROR(__xludf.DUMMYFUNCTION("GOOGLEFINANCE(""NSE:""&amp;A185,""LOW"")"),"#N/A")</f>
        <v>#N/A</v>
      </c>
      <c r="F185" s="13" t="str">
        <f ca="1">IFERROR(__xludf.DUMMYFUNCTION("GOOGLEFINANCE(""NSE:""&amp;A185,""closeyest"")"),"#N/A")</f>
        <v>#N/A</v>
      </c>
      <c r="G185" s="14" t="e">
        <f t="shared" ca="1" si="40"/>
        <v>#VALUE!</v>
      </c>
      <c r="H185" s="13" t="str">
        <f ca="1">IFERROR(__xludf.DUMMYFUNCTION("GOOGLEFINANCE(""NSE:""&amp;A185,""VOLUME"")"),"#N/A")</f>
        <v>#N/A</v>
      </c>
      <c r="I185" s="13" t="str">
        <f ca="1">IFERROR(__xludf.DUMMYFUNCTION("AVERAGE(index(GOOGLEFINANCE(""NSE:""&amp;$A185, ""volume"", today()-21, today()-1), , 2))"),"#N/A")</f>
        <v>#N/A</v>
      </c>
      <c r="J185" s="14" t="e">
        <f t="shared" ca="1" si="41"/>
        <v>#VALUE!</v>
      </c>
      <c r="K185" s="13" t="str">
        <f ca="1">IFERROR(__xludf.DUMMYFUNCTION("AVERAGE(index(GOOGLEFINANCE(""NSE:""&amp;$A185, ""close"", today()-6, today()-1), , 2))"),"#N/A")</f>
        <v>#N/A</v>
      </c>
      <c r="L185" s="13" t="str">
        <f ca="1">IFERROR(__xludf.DUMMYFUNCTION("AVERAGE(index(GOOGLEFINANCE(""NSE:""&amp;$A185, ""close"", today()-14, today()-1), , 2))"),"#N/A")</f>
        <v>#N/A</v>
      </c>
      <c r="M185" s="13" t="str">
        <f ca="1">IFERROR(__xludf.DUMMYFUNCTION("AVERAGE(index(GOOGLEFINANCE(""NSE:""&amp;$A185, ""close"", today()-22, today()-1), , 2))"),"#N/A")</f>
        <v>#N/A</v>
      </c>
      <c r="N185" s="13" t="str">
        <f t="shared" ca="1" si="42"/>
        <v>No_Action</v>
      </c>
      <c r="O185" s="13" t="str">
        <f t="shared" ca="1" si="43"/>
        <v>No_Action</v>
      </c>
      <c r="P185" s="13" t="str">
        <f t="shared" ca="1" si="44"/>
        <v>No_Action</v>
      </c>
      <c r="Q185" s="13" t="str">
        <f t="shared" ca="1" si="45"/>
        <v>No_Action</v>
      </c>
      <c r="R185" s="15"/>
      <c r="S185" s="15" t="str">
        <f t="shared" ca="1" si="46"/>
        <v>NoNo</v>
      </c>
      <c r="T185" s="15"/>
      <c r="U185" s="15">
        <f t="shared" ca="1" si="47"/>
        <v>0</v>
      </c>
      <c r="V185" s="15">
        <f t="shared" ca="1" si="48"/>
        <v>0</v>
      </c>
      <c r="W185" s="15" t="str">
        <f t="shared" ca="1" si="49"/>
        <v>No_Action</v>
      </c>
      <c r="X185" s="15"/>
      <c r="Y185" s="15" t="str">
        <f t="shared" ca="1" si="50"/>
        <v>No_Action</v>
      </c>
      <c r="Z185" s="15">
        <f t="shared" ca="1" si="51"/>
        <v>0</v>
      </c>
      <c r="AA185" s="15">
        <f t="shared" ca="1" si="52"/>
        <v>0</v>
      </c>
      <c r="AB185" s="15"/>
      <c r="AC185" s="15" t="str">
        <f t="shared" ca="1" si="53"/>
        <v>NoNo</v>
      </c>
      <c r="AD185" s="15"/>
      <c r="AE185" s="15">
        <f t="shared" ca="1" si="54"/>
        <v>0</v>
      </c>
      <c r="AF185" s="16">
        <f t="shared" ca="1" si="55"/>
        <v>0</v>
      </c>
      <c r="AG185" s="16" t="str">
        <f t="shared" ca="1" si="56"/>
        <v>No_Action</v>
      </c>
      <c r="AH185" s="15"/>
      <c r="AI185" s="15" t="str">
        <f t="shared" ca="1" si="57"/>
        <v>No_Action</v>
      </c>
      <c r="AJ185" s="15">
        <f t="shared" ca="1" si="58"/>
        <v>0</v>
      </c>
      <c r="AK185" s="15">
        <f t="shared" ca="1" si="59"/>
        <v>0</v>
      </c>
    </row>
    <row r="186" spans="1:37" ht="14.5" customHeight="1" x14ac:dyDescent="0.35">
      <c r="A186" s="12" t="s">
        <v>202</v>
      </c>
      <c r="B186" s="13" t="str">
        <f ca="1">IFERROR(__xludf.DUMMYFUNCTION("GOOGLEFINANCE(""NSE:""&amp;A186,""PRICE"")"),"#N/A")</f>
        <v>#N/A</v>
      </c>
      <c r="C186" s="13" t="str">
        <f ca="1">IFERROR(__xludf.DUMMYFUNCTION("GOOGLEFINANCE(""NSE:""&amp;A186,""PRICEOPEN"")"),"#N/A")</f>
        <v>#N/A</v>
      </c>
      <c r="D186" s="13" t="str">
        <f ca="1">IFERROR(__xludf.DUMMYFUNCTION("GOOGLEFINANCE(""NSE:""&amp;A186,""HIGH"")"),"#N/A")</f>
        <v>#N/A</v>
      </c>
      <c r="E186" s="13" t="str">
        <f ca="1">IFERROR(__xludf.DUMMYFUNCTION("GOOGLEFINANCE(""NSE:""&amp;A186,""LOW"")"),"#N/A")</f>
        <v>#N/A</v>
      </c>
      <c r="F186" s="13" t="str">
        <f ca="1">IFERROR(__xludf.DUMMYFUNCTION("GOOGLEFINANCE(""NSE:""&amp;A186,""closeyest"")"),"#N/A")</f>
        <v>#N/A</v>
      </c>
      <c r="G186" s="14" t="e">
        <f t="shared" ca="1" si="40"/>
        <v>#VALUE!</v>
      </c>
      <c r="H186" s="13" t="str">
        <f ca="1">IFERROR(__xludf.DUMMYFUNCTION("GOOGLEFINANCE(""NSE:""&amp;A186,""VOLUME"")"),"#N/A")</f>
        <v>#N/A</v>
      </c>
      <c r="I186" s="13" t="str">
        <f ca="1">IFERROR(__xludf.DUMMYFUNCTION("AVERAGE(index(GOOGLEFINANCE(""NSE:""&amp;$A186, ""volume"", today()-21, today()-1), , 2))"),"#N/A")</f>
        <v>#N/A</v>
      </c>
      <c r="J186" s="14" t="e">
        <f t="shared" ca="1" si="41"/>
        <v>#VALUE!</v>
      </c>
      <c r="K186" s="13" t="str">
        <f ca="1">IFERROR(__xludf.DUMMYFUNCTION("AVERAGE(index(GOOGLEFINANCE(""NSE:""&amp;$A186, ""close"", today()-6, today()-1), , 2))"),"#N/A")</f>
        <v>#N/A</v>
      </c>
      <c r="L186" s="13" t="str">
        <f ca="1">IFERROR(__xludf.DUMMYFUNCTION("AVERAGE(index(GOOGLEFINANCE(""NSE:""&amp;$A186, ""close"", today()-14, today()-1), , 2))"),"#N/A")</f>
        <v>#N/A</v>
      </c>
      <c r="M186" s="13" t="str">
        <f ca="1">IFERROR(__xludf.DUMMYFUNCTION("AVERAGE(index(GOOGLEFINANCE(""NSE:""&amp;$A186, ""close"", today()-22, today()-1), , 2))"),"#N/A")</f>
        <v>#N/A</v>
      </c>
      <c r="N186" s="13" t="str">
        <f t="shared" ca="1" si="42"/>
        <v>No_Action</v>
      </c>
      <c r="O186" s="13" t="str">
        <f t="shared" ca="1" si="43"/>
        <v>No_Action</v>
      </c>
      <c r="P186" s="13" t="str">
        <f t="shared" ca="1" si="44"/>
        <v>No_Action</v>
      </c>
      <c r="Q186" s="13" t="str">
        <f t="shared" ca="1" si="45"/>
        <v>No_Action</v>
      </c>
      <c r="R186" s="15"/>
      <c r="S186" s="15" t="str">
        <f t="shared" ca="1" si="46"/>
        <v>NoNo</v>
      </c>
      <c r="T186" s="15"/>
      <c r="U186" s="15">
        <f t="shared" ca="1" si="47"/>
        <v>0</v>
      </c>
      <c r="V186" s="15">
        <f t="shared" ca="1" si="48"/>
        <v>0</v>
      </c>
      <c r="W186" s="15" t="str">
        <f t="shared" ca="1" si="49"/>
        <v>No_Action</v>
      </c>
      <c r="X186" s="15"/>
      <c r="Y186" s="15" t="str">
        <f t="shared" ca="1" si="50"/>
        <v>No_Action</v>
      </c>
      <c r="Z186" s="15">
        <f t="shared" ca="1" si="51"/>
        <v>0</v>
      </c>
      <c r="AA186" s="15">
        <f t="shared" ca="1" si="52"/>
        <v>0</v>
      </c>
      <c r="AB186" s="15"/>
      <c r="AC186" s="15" t="str">
        <f t="shared" ca="1" si="53"/>
        <v>NoNo</v>
      </c>
      <c r="AD186" s="15"/>
      <c r="AE186" s="15">
        <f t="shared" ca="1" si="54"/>
        <v>0</v>
      </c>
      <c r="AF186" s="16">
        <f t="shared" ca="1" si="55"/>
        <v>0</v>
      </c>
      <c r="AG186" s="16" t="str">
        <f t="shared" ca="1" si="56"/>
        <v>No_Action</v>
      </c>
      <c r="AH186" s="15"/>
      <c r="AI186" s="15" t="str">
        <f t="shared" ca="1" si="57"/>
        <v>No_Action</v>
      </c>
      <c r="AJ186" s="15">
        <f t="shared" ca="1" si="58"/>
        <v>0</v>
      </c>
      <c r="AK186" s="15">
        <f t="shared" ca="1" si="59"/>
        <v>0</v>
      </c>
    </row>
    <row r="187" spans="1:37" ht="14.5" customHeight="1" x14ac:dyDescent="0.35">
      <c r="A187" s="12" t="s">
        <v>203</v>
      </c>
      <c r="B187" s="13">
        <f ca="1">IFERROR(__xludf.DUMMYFUNCTION("GOOGLEFINANCE(""NSE:""&amp;A187,""PRICE"")"),2262)</f>
        <v>2262</v>
      </c>
      <c r="C187" s="13">
        <f ca="1">IFERROR(__xludf.DUMMYFUNCTION("GOOGLEFINANCE(""NSE:""&amp;A187,""PRICEOPEN"")"),2358.75)</f>
        <v>2358.75</v>
      </c>
      <c r="D187" s="13">
        <f ca="1">IFERROR(__xludf.DUMMYFUNCTION("GOOGLEFINANCE(""NSE:""&amp;A187,""HIGH"")"),2369.95)</f>
        <v>2369.9499999999998</v>
      </c>
      <c r="E187" s="13">
        <f ca="1">IFERROR(__xludf.DUMMYFUNCTION("GOOGLEFINANCE(""NSE:""&amp;A187,""LOW"")"),2250)</f>
        <v>2250</v>
      </c>
      <c r="F187" s="13">
        <f ca="1">IFERROR(__xludf.DUMMYFUNCTION("GOOGLEFINANCE(""NSE:""&amp;A187,""closeyest"")"),2338.1)</f>
        <v>2338.1</v>
      </c>
      <c r="G187" s="14">
        <f t="shared" ca="1" si="40"/>
        <v>-4.2771883289124665E-2</v>
      </c>
      <c r="H187" s="13">
        <f ca="1">IFERROR(__xludf.DUMMYFUNCTION("GOOGLEFINANCE(""NSE:""&amp;A187,""VOLUME"")"),28356)</f>
        <v>28356</v>
      </c>
      <c r="I187" s="13" t="str">
        <f ca="1">IFERROR(__xludf.DUMMYFUNCTION("AVERAGE(index(GOOGLEFINANCE(""NSE:""&amp;$A187, ""volume"", today()-21, today()-1), , 2))"),"#N/A")</f>
        <v>#N/A</v>
      </c>
      <c r="J187" s="14" t="e">
        <f t="shared" ca="1" si="41"/>
        <v>#VALUE!</v>
      </c>
      <c r="K187" s="13" t="str">
        <f ca="1">IFERROR(__xludf.DUMMYFUNCTION("AVERAGE(index(GOOGLEFINANCE(""NSE:""&amp;$A187, ""close"", today()-6, today()-1), , 2))"),"#N/A")</f>
        <v>#N/A</v>
      </c>
      <c r="L187" s="13" t="str">
        <f ca="1">IFERROR(__xludf.DUMMYFUNCTION("AVERAGE(index(GOOGLEFINANCE(""NSE:""&amp;$A187, ""close"", today()-14, today()-1), , 2))"),"#N/A")</f>
        <v>#N/A</v>
      </c>
      <c r="M187" s="13" t="str">
        <f ca="1">IFERROR(__xludf.DUMMYFUNCTION("AVERAGE(index(GOOGLEFINANCE(""NSE:""&amp;$A187, ""close"", today()-22, today()-1), , 2))"),"#N/A")</f>
        <v>#N/A</v>
      </c>
      <c r="N187" s="13" t="str">
        <f t="shared" ca="1" si="42"/>
        <v>No_Action</v>
      </c>
      <c r="O187" s="13" t="str">
        <f t="shared" ca="1" si="43"/>
        <v>No_Action</v>
      </c>
      <c r="P187" s="13" t="str">
        <f t="shared" ca="1" si="44"/>
        <v>No_Action</v>
      </c>
      <c r="Q187" s="13" t="str">
        <f t="shared" ca="1" si="45"/>
        <v>No_Action</v>
      </c>
      <c r="R187" s="15"/>
      <c r="S187" s="15" t="str">
        <f t="shared" ca="1" si="46"/>
        <v>NoNo</v>
      </c>
      <c r="T187" s="15"/>
      <c r="U187" s="15">
        <f t="shared" ca="1" si="47"/>
        <v>0</v>
      </c>
      <c r="V187" s="15">
        <f t="shared" ca="1" si="48"/>
        <v>0</v>
      </c>
      <c r="W187" s="15" t="str">
        <f t="shared" ca="1" si="49"/>
        <v>No_Action</v>
      </c>
      <c r="X187" s="15"/>
      <c r="Y187" s="15" t="str">
        <f t="shared" ca="1" si="50"/>
        <v>No_Action</v>
      </c>
      <c r="Z187" s="15">
        <f t="shared" ca="1" si="51"/>
        <v>0</v>
      </c>
      <c r="AA187" s="15">
        <f t="shared" ca="1" si="52"/>
        <v>0</v>
      </c>
      <c r="AB187" s="15"/>
      <c r="AC187" s="15" t="str">
        <f t="shared" ca="1" si="53"/>
        <v>NoNo</v>
      </c>
      <c r="AD187" s="15"/>
      <c r="AE187" s="15">
        <f t="shared" ca="1" si="54"/>
        <v>0</v>
      </c>
      <c r="AF187" s="16">
        <f t="shared" ca="1" si="55"/>
        <v>0</v>
      </c>
      <c r="AG187" s="16" t="str">
        <f t="shared" ca="1" si="56"/>
        <v>No_Action</v>
      </c>
      <c r="AH187" s="15"/>
      <c r="AI187" s="15" t="str">
        <f t="shared" ca="1" si="57"/>
        <v>No_Action</v>
      </c>
      <c r="AJ187" s="15">
        <f t="shared" ca="1" si="58"/>
        <v>0</v>
      </c>
      <c r="AK187" s="15">
        <f t="shared" ca="1" si="59"/>
        <v>0</v>
      </c>
    </row>
    <row r="188" spans="1:37" ht="14.5" customHeight="1" x14ac:dyDescent="0.35">
      <c r="A188" s="12" t="s">
        <v>204</v>
      </c>
      <c r="B188" s="13">
        <f ca="1">IFERROR(__xludf.DUMMYFUNCTION("GOOGLEFINANCE(""NSE:""&amp;A188,""PRICE"")"),339)</f>
        <v>339</v>
      </c>
      <c r="C188" s="13">
        <f ca="1">IFERROR(__xludf.DUMMYFUNCTION("GOOGLEFINANCE(""NSE:""&amp;A188,""PRICEOPEN"")"),340.4)</f>
        <v>340.4</v>
      </c>
      <c r="D188" s="13">
        <f ca="1">IFERROR(__xludf.DUMMYFUNCTION("GOOGLEFINANCE(""NSE:""&amp;A188,""HIGH"")"),344.55)</f>
        <v>344.55</v>
      </c>
      <c r="E188" s="13">
        <f ca="1">IFERROR(__xludf.DUMMYFUNCTION("GOOGLEFINANCE(""NSE:""&amp;A188,""LOW"")"),337.6)</f>
        <v>337.6</v>
      </c>
      <c r="F188" s="13">
        <f ca="1">IFERROR(__xludf.DUMMYFUNCTION("GOOGLEFINANCE(""NSE:""&amp;A188,""closeyest"")"),338.85)</f>
        <v>338.85</v>
      </c>
      <c r="G188" s="14">
        <f t="shared" ca="1" si="40"/>
        <v>-4.1297935103244169E-3</v>
      </c>
      <c r="H188" s="13">
        <f ca="1">IFERROR(__xludf.DUMMYFUNCTION("GOOGLEFINANCE(""NSE:""&amp;A188,""VOLUME"")"),687006)</f>
        <v>687006</v>
      </c>
      <c r="I188" s="13" t="str">
        <f ca="1">IFERROR(__xludf.DUMMYFUNCTION("AVERAGE(index(GOOGLEFINANCE(""NSE:""&amp;$A188, ""volume"", today()-21, today()-1), , 2))"),"#N/A")</f>
        <v>#N/A</v>
      </c>
      <c r="J188" s="14" t="e">
        <f t="shared" ca="1" si="41"/>
        <v>#VALUE!</v>
      </c>
      <c r="K188" s="13" t="str">
        <f ca="1">IFERROR(__xludf.DUMMYFUNCTION("AVERAGE(index(GOOGLEFINANCE(""NSE:""&amp;$A188, ""close"", today()-6, today()-1), , 2))"),"#N/A")</f>
        <v>#N/A</v>
      </c>
      <c r="L188" s="13" t="str">
        <f ca="1">IFERROR(__xludf.DUMMYFUNCTION("AVERAGE(index(GOOGLEFINANCE(""NSE:""&amp;$A188, ""close"", today()-14, today()-1), , 2))"),"#N/A")</f>
        <v>#N/A</v>
      </c>
      <c r="M188" s="13" t="str">
        <f ca="1">IFERROR(__xludf.DUMMYFUNCTION("AVERAGE(index(GOOGLEFINANCE(""NSE:""&amp;$A188, ""close"", today()-22, today()-1), , 2))"),"#N/A")</f>
        <v>#N/A</v>
      </c>
      <c r="N188" s="13" t="str">
        <f t="shared" ca="1" si="42"/>
        <v>No_Action</v>
      </c>
      <c r="O188" s="13" t="str">
        <f t="shared" ca="1" si="43"/>
        <v>No_Action</v>
      </c>
      <c r="P188" s="13" t="str">
        <f t="shared" ca="1" si="44"/>
        <v>No_Action</v>
      </c>
      <c r="Q188" s="13" t="str">
        <f t="shared" ca="1" si="45"/>
        <v>No_Action</v>
      </c>
      <c r="R188" s="15"/>
      <c r="S188" s="15" t="str">
        <f t="shared" ca="1" si="46"/>
        <v>NoNo</v>
      </c>
      <c r="T188" s="15"/>
      <c r="U188" s="15">
        <f t="shared" ca="1" si="47"/>
        <v>0</v>
      </c>
      <c r="V188" s="15">
        <f t="shared" ca="1" si="48"/>
        <v>0</v>
      </c>
      <c r="W188" s="15" t="str">
        <f t="shared" ca="1" si="49"/>
        <v>No_Action</v>
      </c>
      <c r="X188" s="15"/>
      <c r="Y188" s="15" t="str">
        <f t="shared" ca="1" si="50"/>
        <v>No_Action</v>
      </c>
      <c r="Z188" s="15">
        <f t="shared" ca="1" si="51"/>
        <v>0</v>
      </c>
      <c r="AA188" s="15">
        <f t="shared" ca="1" si="52"/>
        <v>0</v>
      </c>
      <c r="AB188" s="15"/>
      <c r="AC188" s="15" t="str">
        <f t="shared" ca="1" si="53"/>
        <v>NoNo</v>
      </c>
      <c r="AD188" s="15"/>
      <c r="AE188" s="15">
        <f t="shared" ca="1" si="54"/>
        <v>0</v>
      </c>
      <c r="AF188" s="16">
        <f t="shared" ca="1" si="55"/>
        <v>0</v>
      </c>
      <c r="AG188" s="16" t="str">
        <f t="shared" ca="1" si="56"/>
        <v>No_Action</v>
      </c>
      <c r="AH188" s="15"/>
      <c r="AI188" s="15" t="str">
        <f t="shared" ca="1" si="57"/>
        <v>No_Action</v>
      </c>
      <c r="AJ188" s="15">
        <f t="shared" ca="1" si="58"/>
        <v>0</v>
      </c>
      <c r="AK188" s="15">
        <f t="shared" ca="1" si="59"/>
        <v>0</v>
      </c>
    </row>
    <row r="189" spans="1:37" ht="14.5" customHeight="1" x14ac:dyDescent="0.35">
      <c r="A189" s="12" t="s">
        <v>205</v>
      </c>
      <c r="B189" s="13">
        <f ca="1">IFERROR(__xludf.DUMMYFUNCTION("GOOGLEFINANCE(""NSE:""&amp;A189,""PRICE"")"),1786.95)</f>
        <v>1786.95</v>
      </c>
      <c r="C189" s="13">
        <f ca="1">IFERROR(__xludf.DUMMYFUNCTION("GOOGLEFINANCE(""NSE:""&amp;A189,""PRICEOPEN"")"),1768.1)</f>
        <v>1768.1</v>
      </c>
      <c r="D189" s="13">
        <f ca="1">IFERROR(__xludf.DUMMYFUNCTION("GOOGLEFINANCE(""NSE:""&amp;A189,""HIGH"")"),1804.95)</f>
        <v>1804.95</v>
      </c>
      <c r="E189" s="13">
        <f ca="1">IFERROR(__xludf.DUMMYFUNCTION("GOOGLEFINANCE(""NSE:""&amp;A189,""LOW"")"),1768.1)</f>
        <v>1768.1</v>
      </c>
      <c r="F189" s="13">
        <f ca="1">IFERROR(__xludf.DUMMYFUNCTION("GOOGLEFINANCE(""NSE:""&amp;A189,""closeyest"")"),1776.95)</f>
        <v>1776.95</v>
      </c>
      <c r="G189" s="14">
        <f t="shared" ca="1" si="40"/>
        <v>1.0548700299392897E-2</v>
      </c>
      <c r="H189" s="13">
        <f ca="1">IFERROR(__xludf.DUMMYFUNCTION("GOOGLEFINANCE(""NSE:""&amp;A189,""VOLUME"")"),2554023)</f>
        <v>2554023</v>
      </c>
      <c r="I189" s="13" t="str">
        <f ca="1">IFERROR(__xludf.DUMMYFUNCTION("AVERAGE(index(GOOGLEFINANCE(""NSE:""&amp;$A189, ""volume"", today()-21, today()-1), , 2))"),"#N/A")</f>
        <v>#N/A</v>
      </c>
      <c r="J189" s="14" t="e">
        <f t="shared" ca="1" si="41"/>
        <v>#VALUE!</v>
      </c>
      <c r="K189" s="13" t="str">
        <f ca="1">IFERROR(__xludf.DUMMYFUNCTION("AVERAGE(index(GOOGLEFINANCE(""NSE:""&amp;$A189, ""close"", today()-6, today()-1), , 2))"),"#N/A")</f>
        <v>#N/A</v>
      </c>
      <c r="L189" s="13" t="str">
        <f ca="1">IFERROR(__xludf.DUMMYFUNCTION("AVERAGE(index(GOOGLEFINANCE(""NSE:""&amp;$A189, ""close"", today()-14, today()-1), , 2))"),"#N/A")</f>
        <v>#N/A</v>
      </c>
      <c r="M189" s="13" t="str">
        <f ca="1">IFERROR(__xludf.DUMMYFUNCTION("AVERAGE(index(GOOGLEFINANCE(""NSE:""&amp;$A189, ""close"", today()-22, today()-1), , 2))"),"#N/A")</f>
        <v>#N/A</v>
      </c>
      <c r="N189" s="13" t="str">
        <f t="shared" ca="1" si="42"/>
        <v>No_Action</v>
      </c>
      <c r="O189" s="13" t="str">
        <f t="shared" ca="1" si="43"/>
        <v>No_Action</v>
      </c>
      <c r="P189" s="13" t="str">
        <f t="shared" ca="1" si="44"/>
        <v>No_Action</v>
      </c>
      <c r="Q189" s="13" t="str">
        <f t="shared" ca="1" si="45"/>
        <v>No_Action</v>
      </c>
      <c r="R189" s="15"/>
      <c r="S189" s="15" t="str">
        <f t="shared" ca="1" si="46"/>
        <v>NoNo</v>
      </c>
      <c r="T189" s="15"/>
      <c r="U189" s="15">
        <f t="shared" ca="1" si="47"/>
        <v>0</v>
      </c>
      <c r="V189" s="15">
        <f t="shared" ca="1" si="48"/>
        <v>0</v>
      </c>
      <c r="W189" s="15" t="str">
        <f t="shared" ca="1" si="49"/>
        <v>No_Action</v>
      </c>
      <c r="X189" s="15"/>
      <c r="Y189" s="15" t="str">
        <f t="shared" ca="1" si="50"/>
        <v>No_Action</v>
      </c>
      <c r="Z189" s="15">
        <f t="shared" ca="1" si="51"/>
        <v>0</v>
      </c>
      <c r="AA189" s="15">
        <f t="shared" ca="1" si="52"/>
        <v>0</v>
      </c>
      <c r="AB189" s="15"/>
      <c r="AC189" s="15" t="str">
        <f t="shared" ca="1" si="53"/>
        <v>NoNo</v>
      </c>
      <c r="AD189" s="15"/>
      <c r="AE189" s="15">
        <f t="shared" ca="1" si="54"/>
        <v>0</v>
      </c>
      <c r="AF189" s="16">
        <f t="shared" ca="1" si="55"/>
        <v>0</v>
      </c>
      <c r="AG189" s="16" t="str">
        <f t="shared" ca="1" si="56"/>
        <v>No_Action</v>
      </c>
      <c r="AH189" s="15"/>
      <c r="AI189" s="15" t="str">
        <f t="shared" ca="1" si="57"/>
        <v>No_Action</v>
      </c>
      <c r="AJ189" s="15">
        <f t="shared" ca="1" si="58"/>
        <v>0</v>
      </c>
      <c r="AK189" s="15">
        <f t="shared" ca="1" si="59"/>
        <v>0</v>
      </c>
    </row>
    <row r="190" spans="1:37" ht="14.5" customHeight="1" x14ac:dyDescent="0.35">
      <c r="A190" s="12" t="s">
        <v>206</v>
      </c>
      <c r="B190" s="13" t="str">
        <f ca="1">IFERROR(__xludf.DUMMYFUNCTION("GOOGLEFINANCE(""NSE:""&amp;A190,""PRICE"")"),"#N/A")</f>
        <v>#N/A</v>
      </c>
      <c r="C190" s="13" t="str">
        <f ca="1">IFERROR(__xludf.DUMMYFUNCTION("GOOGLEFINANCE(""NSE:""&amp;A190,""PRICEOPEN"")"),"#N/A")</f>
        <v>#N/A</v>
      </c>
      <c r="D190" s="13" t="str">
        <f ca="1">IFERROR(__xludf.DUMMYFUNCTION("GOOGLEFINANCE(""NSE:""&amp;A190,""HIGH"")"),"#N/A")</f>
        <v>#N/A</v>
      </c>
      <c r="E190" s="13" t="str">
        <f ca="1">IFERROR(__xludf.DUMMYFUNCTION("GOOGLEFINANCE(""NSE:""&amp;A190,""LOW"")"),"#N/A")</f>
        <v>#N/A</v>
      </c>
      <c r="F190" s="13" t="str">
        <f ca="1">IFERROR(__xludf.DUMMYFUNCTION("GOOGLEFINANCE(""NSE:""&amp;A190,""closeyest"")"),"#N/A")</f>
        <v>#N/A</v>
      </c>
      <c r="G190" s="14" t="e">
        <f t="shared" ca="1" si="40"/>
        <v>#VALUE!</v>
      </c>
      <c r="H190" s="13" t="str">
        <f ca="1">IFERROR(__xludf.DUMMYFUNCTION("GOOGLEFINANCE(""NSE:""&amp;A190,""VOLUME"")"),"#N/A")</f>
        <v>#N/A</v>
      </c>
      <c r="I190" s="13" t="str">
        <f ca="1">IFERROR(__xludf.DUMMYFUNCTION("AVERAGE(index(GOOGLEFINANCE(""NSE:""&amp;$A190, ""volume"", today()-21, today()-1), , 2))"),"#N/A")</f>
        <v>#N/A</v>
      </c>
      <c r="J190" s="14" t="e">
        <f t="shared" ca="1" si="41"/>
        <v>#VALUE!</v>
      </c>
      <c r="K190" s="13" t="str">
        <f ca="1">IFERROR(__xludf.DUMMYFUNCTION("AVERAGE(index(GOOGLEFINANCE(""NSE:""&amp;$A190, ""close"", today()-6, today()-1), , 2))"),"#N/A")</f>
        <v>#N/A</v>
      </c>
      <c r="L190" s="13" t="str">
        <f ca="1">IFERROR(__xludf.DUMMYFUNCTION("AVERAGE(index(GOOGLEFINANCE(""NSE:""&amp;$A190, ""close"", today()-14, today()-1), , 2))"),"#N/A")</f>
        <v>#N/A</v>
      </c>
      <c r="M190" s="13" t="str">
        <f ca="1">IFERROR(__xludf.DUMMYFUNCTION("AVERAGE(index(GOOGLEFINANCE(""NSE:""&amp;$A190, ""close"", today()-22, today()-1), , 2))"),"#N/A")</f>
        <v>#N/A</v>
      </c>
      <c r="N190" s="13" t="str">
        <f t="shared" ca="1" si="42"/>
        <v>No_Action</v>
      </c>
      <c r="O190" s="13" t="str">
        <f t="shared" ca="1" si="43"/>
        <v>No_Action</v>
      </c>
      <c r="P190" s="13" t="str">
        <f t="shared" ca="1" si="44"/>
        <v>No_Action</v>
      </c>
      <c r="Q190" s="13" t="str">
        <f t="shared" ca="1" si="45"/>
        <v>No_Action</v>
      </c>
      <c r="R190" s="15"/>
      <c r="S190" s="15" t="str">
        <f t="shared" ca="1" si="46"/>
        <v>NoNo</v>
      </c>
      <c r="T190" s="15"/>
      <c r="U190" s="15">
        <f t="shared" ca="1" si="47"/>
        <v>0</v>
      </c>
      <c r="V190" s="15">
        <f t="shared" ca="1" si="48"/>
        <v>0</v>
      </c>
      <c r="W190" s="15" t="str">
        <f t="shared" ca="1" si="49"/>
        <v>No_Action</v>
      </c>
      <c r="X190" s="15"/>
      <c r="Y190" s="15" t="str">
        <f t="shared" ca="1" si="50"/>
        <v>No_Action</v>
      </c>
      <c r="Z190" s="15">
        <f t="shared" ca="1" si="51"/>
        <v>0</v>
      </c>
      <c r="AA190" s="15">
        <f t="shared" ca="1" si="52"/>
        <v>0</v>
      </c>
      <c r="AB190" s="15"/>
      <c r="AC190" s="15" t="str">
        <f t="shared" ca="1" si="53"/>
        <v>NoNo</v>
      </c>
      <c r="AD190" s="15"/>
      <c r="AE190" s="15">
        <f t="shared" ca="1" si="54"/>
        <v>0</v>
      </c>
      <c r="AF190" s="16">
        <f t="shared" ca="1" si="55"/>
        <v>0</v>
      </c>
      <c r="AG190" s="16" t="str">
        <f t="shared" ca="1" si="56"/>
        <v>No_Action</v>
      </c>
      <c r="AH190" s="15"/>
      <c r="AI190" s="15" t="str">
        <f t="shared" ca="1" si="57"/>
        <v>No_Action</v>
      </c>
      <c r="AJ190" s="15">
        <f t="shared" ca="1" si="58"/>
        <v>0</v>
      </c>
      <c r="AK190" s="15">
        <f t="shared" ca="1" si="59"/>
        <v>0</v>
      </c>
    </row>
    <row r="191" spans="1:37" ht="14.5" customHeight="1" x14ac:dyDescent="0.35">
      <c r="A191" s="12" t="s">
        <v>207</v>
      </c>
      <c r="B191" s="13">
        <f ca="1">IFERROR(__xludf.DUMMYFUNCTION("GOOGLEFINANCE(""NSE:""&amp;A191,""PRICE"")"),312)</f>
        <v>312</v>
      </c>
      <c r="C191" s="13">
        <f ca="1">IFERROR(__xludf.DUMMYFUNCTION("GOOGLEFINANCE(""NSE:""&amp;A191,""PRICEOPEN"")"),314.25)</f>
        <v>314.25</v>
      </c>
      <c r="D191" s="13">
        <f ca="1">IFERROR(__xludf.DUMMYFUNCTION("GOOGLEFINANCE(""NSE:""&amp;A191,""HIGH"")"),318.8)</f>
        <v>318.8</v>
      </c>
      <c r="E191" s="13">
        <f ca="1">IFERROR(__xludf.DUMMYFUNCTION("GOOGLEFINANCE(""NSE:""&amp;A191,""LOW"")"),310.2)</f>
        <v>310.2</v>
      </c>
      <c r="F191" s="13">
        <f ca="1">IFERROR(__xludf.DUMMYFUNCTION("GOOGLEFINANCE(""NSE:""&amp;A191,""closeyest"")"),314.25)</f>
        <v>314.25</v>
      </c>
      <c r="G191" s="14">
        <f t="shared" ca="1" si="40"/>
        <v>-7.2115384615384619E-3</v>
      </c>
      <c r="H191" s="13">
        <f ca="1">IFERROR(__xludf.DUMMYFUNCTION("GOOGLEFINANCE(""NSE:""&amp;A191,""VOLUME"")"),289868)</f>
        <v>289868</v>
      </c>
      <c r="I191" s="13" t="str">
        <f ca="1">IFERROR(__xludf.DUMMYFUNCTION("AVERAGE(index(GOOGLEFINANCE(""NSE:""&amp;$A191, ""volume"", today()-21, today()-1), , 2))"),"#N/A")</f>
        <v>#N/A</v>
      </c>
      <c r="J191" s="14" t="e">
        <f t="shared" ca="1" si="41"/>
        <v>#VALUE!</v>
      </c>
      <c r="K191" s="13" t="str">
        <f ca="1">IFERROR(__xludf.DUMMYFUNCTION("AVERAGE(index(GOOGLEFINANCE(""NSE:""&amp;$A191, ""close"", today()-6, today()-1), , 2))"),"#N/A")</f>
        <v>#N/A</v>
      </c>
      <c r="L191" s="13" t="str">
        <f ca="1">IFERROR(__xludf.DUMMYFUNCTION("AVERAGE(index(GOOGLEFINANCE(""NSE:""&amp;$A191, ""close"", today()-14, today()-1), , 2))"),"#N/A")</f>
        <v>#N/A</v>
      </c>
      <c r="M191" s="13" t="str">
        <f ca="1">IFERROR(__xludf.DUMMYFUNCTION("AVERAGE(index(GOOGLEFINANCE(""NSE:""&amp;$A191, ""close"", today()-22, today()-1), , 2))"),"#N/A")</f>
        <v>#N/A</v>
      </c>
      <c r="N191" s="13" t="str">
        <f t="shared" ca="1" si="42"/>
        <v>No_Action</v>
      </c>
      <c r="O191" s="13" t="str">
        <f t="shared" ca="1" si="43"/>
        <v>No_Action</v>
      </c>
      <c r="P191" s="13" t="str">
        <f t="shared" ca="1" si="44"/>
        <v>No_Action</v>
      </c>
      <c r="Q191" s="13" t="str">
        <f t="shared" ca="1" si="45"/>
        <v>No_Action</v>
      </c>
      <c r="R191" s="15"/>
      <c r="S191" s="15" t="str">
        <f t="shared" ca="1" si="46"/>
        <v>NoNo</v>
      </c>
      <c r="T191" s="15"/>
      <c r="U191" s="15">
        <f t="shared" ca="1" si="47"/>
        <v>0</v>
      </c>
      <c r="V191" s="15">
        <f t="shared" ca="1" si="48"/>
        <v>0</v>
      </c>
      <c r="W191" s="15" t="str">
        <f t="shared" ca="1" si="49"/>
        <v>No_Action</v>
      </c>
      <c r="X191" s="15"/>
      <c r="Y191" s="15" t="str">
        <f t="shared" ca="1" si="50"/>
        <v>No_Action</v>
      </c>
      <c r="Z191" s="15">
        <f t="shared" ca="1" si="51"/>
        <v>0</v>
      </c>
      <c r="AA191" s="15">
        <f t="shared" ca="1" si="52"/>
        <v>0</v>
      </c>
      <c r="AB191" s="15"/>
      <c r="AC191" s="15" t="str">
        <f t="shared" ca="1" si="53"/>
        <v>NoNo</v>
      </c>
      <c r="AD191" s="15"/>
      <c r="AE191" s="15">
        <f t="shared" ca="1" si="54"/>
        <v>0</v>
      </c>
      <c r="AF191" s="16">
        <f t="shared" ca="1" si="55"/>
        <v>0</v>
      </c>
      <c r="AG191" s="16" t="str">
        <f t="shared" ca="1" si="56"/>
        <v>No_Action</v>
      </c>
      <c r="AH191" s="15"/>
      <c r="AI191" s="15" t="str">
        <f t="shared" ca="1" si="57"/>
        <v>No_Action</v>
      </c>
      <c r="AJ191" s="15">
        <f t="shared" ca="1" si="58"/>
        <v>0</v>
      </c>
      <c r="AK191" s="15">
        <f t="shared" ca="1" si="59"/>
        <v>0</v>
      </c>
    </row>
    <row r="192" spans="1:37" ht="14.5" customHeight="1" x14ac:dyDescent="0.35">
      <c r="A192" s="12" t="s">
        <v>208</v>
      </c>
      <c r="B192" s="13">
        <f ca="1">IFERROR(__xludf.DUMMYFUNCTION("GOOGLEFINANCE(""NSE:""&amp;A192,""PRICE"")"),621)</f>
        <v>621</v>
      </c>
      <c r="C192" s="13">
        <f ca="1">IFERROR(__xludf.DUMMYFUNCTION("GOOGLEFINANCE(""NSE:""&amp;A192,""PRICEOPEN"")"),614.7)</f>
        <v>614.70000000000005</v>
      </c>
      <c r="D192" s="13">
        <f ca="1">IFERROR(__xludf.DUMMYFUNCTION("GOOGLEFINANCE(""NSE:""&amp;A192,""HIGH"")"),624.4)</f>
        <v>624.4</v>
      </c>
      <c r="E192" s="13">
        <f ca="1">IFERROR(__xludf.DUMMYFUNCTION("GOOGLEFINANCE(""NSE:""&amp;A192,""LOW"")"),607.5)</f>
        <v>607.5</v>
      </c>
      <c r="F192" s="13">
        <f ca="1">IFERROR(__xludf.DUMMYFUNCTION("GOOGLEFINANCE(""NSE:""&amp;A192,""closeyest"")"),611.4)</f>
        <v>611.4</v>
      </c>
      <c r="G192" s="14">
        <f t="shared" ca="1" si="40"/>
        <v>1.014492753623181E-2</v>
      </c>
      <c r="H192" s="13">
        <f ca="1">IFERROR(__xludf.DUMMYFUNCTION("GOOGLEFINANCE(""NSE:""&amp;A192,""VOLUME"")"),630840)</f>
        <v>630840</v>
      </c>
      <c r="I192" s="13" t="str">
        <f ca="1">IFERROR(__xludf.DUMMYFUNCTION("AVERAGE(index(GOOGLEFINANCE(""NSE:""&amp;$A192, ""volume"", today()-21, today()-1), , 2))"),"#N/A")</f>
        <v>#N/A</v>
      </c>
      <c r="J192" s="14" t="e">
        <f t="shared" ca="1" si="41"/>
        <v>#VALUE!</v>
      </c>
      <c r="K192" s="13" t="str">
        <f ca="1">IFERROR(__xludf.DUMMYFUNCTION("AVERAGE(index(GOOGLEFINANCE(""NSE:""&amp;$A192, ""close"", today()-6, today()-1), , 2))"),"#N/A")</f>
        <v>#N/A</v>
      </c>
      <c r="L192" s="13" t="str">
        <f ca="1">IFERROR(__xludf.DUMMYFUNCTION("AVERAGE(index(GOOGLEFINANCE(""NSE:""&amp;$A192, ""close"", today()-14, today()-1), , 2))"),"#N/A")</f>
        <v>#N/A</v>
      </c>
      <c r="M192" s="13" t="str">
        <f ca="1">IFERROR(__xludf.DUMMYFUNCTION("AVERAGE(index(GOOGLEFINANCE(""NSE:""&amp;$A192, ""close"", today()-22, today()-1), , 2))"),"#N/A")</f>
        <v>#N/A</v>
      </c>
      <c r="N192" s="13" t="str">
        <f t="shared" ca="1" si="42"/>
        <v>No_Action</v>
      </c>
      <c r="O192" s="13" t="str">
        <f t="shared" ca="1" si="43"/>
        <v>No_Action</v>
      </c>
      <c r="P192" s="13" t="str">
        <f t="shared" ca="1" si="44"/>
        <v>No_Action</v>
      </c>
      <c r="Q192" s="13" t="str">
        <f t="shared" ca="1" si="45"/>
        <v>No_Action</v>
      </c>
      <c r="R192" s="15"/>
      <c r="S192" s="15" t="str">
        <f t="shared" ca="1" si="46"/>
        <v>NoNo</v>
      </c>
      <c r="T192" s="15"/>
      <c r="U192" s="15">
        <f t="shared" ca="1" si="47"/>
        <v>0</v>
      </c>
      <c r="V192" s="15">
        <f t="shared" ca="1" si="48"/>
        <v>0</v>
      </c>
      <c r="W192" s="15" t="str">
        <f t="shared" ca="1" si="49"/>
        <v>No_Action</v>
      </c>
      <c r="X192" s="15"/>
      <c r="Y192" s="15" t="str">
        <f t="shared" ca="1" si="50"/>
        <v>No_Action</v>
      </c>
      <c r="Z192" s="15">
        <f t="shared" ca="1" si="51"/>
        <v>0</v>
      </c>
      <c r="AA192" s="15">
        <f t="shared" ca="1" si="52"/>
        <v>0</v>
      </c>
      <c r="AB192" s="15"/>
      <c r="AC192" s="15" t="str">
        <f t="shared" ca="1" si="53"/>
        <v>NoNo</v>
      </c>
      <c r="AD192" s="15"/>
      <c r="AE192" s="15">
        <f t="shared" ca="1" si="54"/>
        <v>0</v>
      </c>
      <c r="AF192" s="16">
        <f t="shared" ca="1" si="55"/>
        <v>0</v>
      </c>
      <c r="AG192" s="16" t="str">
        <f t="shared" ca="1" si="56"/>
        <v>No_Action</v>
      </c>
      <c r="AH192" s="15"/>
      <c r="AI192" s="15" t="str">
        <f t="shared" ca="1" si="57"/>
        <v>No_Action</v>
      </c>
      <c r="AJ192" s="15">
        <f t="shared" ca="1" si="58"/>
        <v>0</v>
      </c>
      <c r="AK192" s="15">
        <f t="shared" ca="1" si="59"/>
        <v>0</v>
      </c>
    </row>
    <row r="193" spans="1:37" ht="14.5" customHeight="1" x14ac:dyDescent="0.35">
      <c r="A193" s="12" t="s">
        <v>209</v>
      </c>
      <c r="B193" s="13">
        <f ca="1">IFERROR(__xludf.DUMMYFUNCTION("GOOGLEFINANCE(""NSE:""&amp;A193,""PRICE"")"),836)</f>
        <v>836</v>
      </c>
      <c r="C193" s="13">
        <f ca="1">IFERROR(__xludf.DUMMYFUNCTION("GOOGLEFINANCE(""NSE:""&amp;A193,""PRICEOPEN"")"),832.5)</f>
        <v>832.5</v>
      </c>
      <c r="D193" s="13">
        <f ca="1">IFERROR(__xludf.DUMMYFUNCTION("GOOGLEFINANCE(""NSE:""&amp;A193,""HIGH"")"),842.8)</f>
        <v>842.8</v>
      </c>
      <c r="E193" s="13">
        <f ca="1">IFERROR(__xludf.DUMMYFUNCTION("GOOGLEFINANCE(""NSE:""&amp;A193,""LOW"")"),831.45)</f>
        <v>831.45</v>
      </c>
      <c r="F193" s="13">
        <f ca="1">IFERROR(__xludf.DUMMYFUNCTION("GOOGLEFINANCE(""NSE:""&amp;A193,""closeyest"")"),834.75)</f>
        <v>834.75</v>
      </c>
      <c r="G193" s="14">
        <f t="shared" ca="1" si="40"/>
        <v>4.1866028708133973E-3</v>
      </c>
      <c r="H193" s="13">
        <f ca="1">IFERROR(__xludf.DUMMYFUNCTION("GOOGLEFINANCE(""NSE:""&amp;A193,""VOLUME"")"),31278)</f>
        <v>31278</v>
      </c>
      <c r="I193" s="13" t="str">
        <f ca="1">IFERROR(__xludf.DUMMYFUNCTION("AVERAGE(index(GOOGLEFINANCE(""NSE:""&amp;$A193, ""volume"", today()-21, today()-1), , 2))"),"#N/A")</f>
        <v>#N/A</v>
      </c>
      <c r="J193" s="14" t="e">
        <f t="shared" ca="1" si="41"/>
        <v>#VALUE!</v>
      </c>
      <c r="K193" s="13" t="str">
        <f ca="1">IFERROR(__xludf.DUMMYFUNCTION("AVERAGE(index(GOOGLEFINANCE(""NSE:""&amp;$A193, ""close"", today()-6, today()-1), , 2))"),"#N/A")</f>
        <v>#N/A</v>
      </c>
      <c r="L193" s="13" t="str">
        <f ca="1">IFERROR(__xludf.DUMMYFUNCTION("AVERAGE(index(GOOGLEFINANCE(""NSE:""&amp;$A193, ""close"", today()-14, today()-1), , 2))"),"#N/A")</f>
        <v>#N/A</v>
      </c>
      <c r="M193" s="13" t="str">
        <f ca="1">IFERROR(__xludf.DUMMYFUNCTION("AVERAGE(index(GOOGLEFINANCE(""NSE:""&amp;$A193, ""close"", today()-22, today()-1), , 2))"),"#N/A")</f>
        <v>#N/A</v>
      </c>
      <c r="N193" s="13" t="str">
        <f t="shared" ca="1" si="42"/>
        <v>No_Action</v>
      </c>
      <c r="O193" s="13" t="str">
        <f t="shared" ca="1" si="43"/>
        <v>No_Action</v>
      </c>
      <c r="P193" s="13" t="str">
        <f t="shared" ca="1" si="44"/>
        <v>No_Action</v>
      </c>
      <c r="Q193" s="13" t="str">
        <f t="shared" ca="1" si="45"/>
        <v>No_Action</v>
      </c>
      <c r="R193" s="15"/>
      <c r="S193" s="15" t="str">
        <f t="shared" ca="1" si="46"/>
        <v>NoNo</v>
      </c>
      <c r="T193" s="15"/>
      <c r="U193" s="15">
        <f t="shared" ca="1" si="47"/>
        <v>0</v>
      </c>
      <c r="V193" s="15">
        <f t="shared" ca="1" si="48"/>
        <v>0</v>
      </c>
      <c r="W193" s="15" t="str">
        <f t="shared" ca="1" si="49"/>
        <v>No_Action</v>
      </c>
      <c r="X193" s="15"/>
      <c r="Y193" s="15" t="str">
        <f t="shared" ca="1" si="50"/>
        <v>No_Action</v>
      </c>
      <c r="Z193" s="15">
        <f t="shared" ca="1" si="51"/>
        <v>0</v>
      </c>
      <c r="AA193" s="15">
        <f t="shared" ca="1" si="52"/>
        <v>0</v>
      </c>
      <c r="AB193" s="15"/>
      <c r="AC193" s="15" t="str">
        <f t="shared" ca="1" si="53"/>
        <v>NoNo</v>
      </c>
      <c r="AD193" s="15"/>
      <c r="AE193" s="15">
        <f t="shared" ca="1" si="54"/>
        <v>0</v>
      </c>
      <c r="AF193" s="16">
        <f t="shared" ca="1" si="55"/>
        <v>0</v>
      </c>
      <c r="AG193" s="16" t="str">
        <f t="shared" ca="1" si="56"/>
        <v>No_Action</v>
      </c>
      <c r="AH193" s="15"/>
      <c r="AI193" s="15" t="str">
        <f t="shared" ca="1" si="57"/>
        <v>No_Action</v>
      </c>
      <c r="AJ193" s="15">
        <f t="shared" ca="1" si="58"/>
        <v>0</v>
      </c>
      <c r="AK193" s="15">
        <f t="shared" ca="1" si="59"/>
        <v>0</v>
      </c>
    </row>
    <row r="194" spans="1:37" ht="14.5" customHeight="1" x14ac:dyDescent="0.35">
      <c r="A194" s="12" t="s">
        <v>210</v>
      </c>
      <c r="B194" s="13">
        <f ca="1">IFERROR(__xludf.DUMMYFUNCTION("GOOGLEFINANCE(""NSE:""&amp;A194,""PRICE"")"),439.4)</f>
        <v>439.4</v>
      </c>
      <c r="C194" s="13">
        <f ca="1">IFERROR(__xludf.DUMMYFUNCTION("GOOGLEFINANCE(""NSE:""&amp;A194,""PRICEOPEN"")"),429.45)</f>
        <v>429.45</v>
      </c>
      <c r="D194" s="13">
        <f ca="1">IFERROR(__xludf.DUMMYFUNCTION("GOOGLEFINANCE(""NSE:""&amp;A194,""HIGH"")"),442.8)</f>
        <v>442.8</v>
      </c>
      <c r="E194" s="13">
        <f ca="1">IFERROR(__xludf.DUMMYFUNCTION("GOOGLEFINANCE(""NSE:""&amp;A194,""LOW"")"),428)</f>
        <v>428</v>
      </c>
      <c r="F194" s="13">
        <f ca="1">IFERROR(__xludf.DUMMYFUNCTION("GOOGLEFINANCE(""NSE:""&amp;A194,""closeyest"")"),428.05)</f>
        <v>428.05</v>
      </c>
      <c r="G194" s="14">
        <f t="shared" ref="G194:G257" ca="1" si="60">(B194-C194)/B194</f>
        <v>2.264451524806552E-2</v>
      </c>
      <c r="H194" s="13">
        <f ca="1">IFERROR(__xludf.DUMMYFUNCTION("GOOGLEFINANCE(""NSE:""&amp;A194,""VOLUME"")"),766165)</f>
        <v>766165</v>
      </c>
      <c r="I194" s="13" t="str">
        <f ca="1">IFERROR(__xludf.DUMMYFUNCTION("AVERAGE(index(GOOGLEFINANCE(""NSE:""&amp;$A194, ""volume"", today()-21, today()-1), , 2))"),"#N/A")</f>
        <v>#N/A</v>
      </c>
      <c r="J194" s="14" t="e">
        <f t="shared" ref="J194:J257" ca="1" si="61">(H194-I194)/I194</f>
        <v>#VALUE!</v>
      </c>
      <c r="K194" s="13" t="str">
        <f ca="1">IFERROR(__xludf.DUMMYFUNCTION("AVERAGE(index(GOOGLEFINANCE(""NSE:""&amp;$A194, ""close"", today()-6, today()-1), , 2))"),"#N/A")</f>
        <v>#N/A</v>
      </c>
      <c r="L194" s="13" t="str">
        <f ca="1">IFERROR(__xludf.DUMMYFUNCTION("AVERAGE(index(GOOGLEFINANCE(""NSE:""&amp;$A194, ""close"", today()-14, today()-1), , 2))"),"#N/A")</f>
        <v>#N/A</v>
      </c>
      <c r="M194" s="13" t="str">
        <f ca="1">IFERROR(__xludf.DUMMYFUNCTION("AVERAGE(index(GOOGLEFINANCE(""NSE:""&amp;$A194, ""close"", today()-22, today()-1), , 2))"),"#N/A")</f>
        <v>#N/A</v>
      </c>
      <c r="N194" s="13" t="str">
        <f t="shared" ref="N194:N257" ca="1" si="62">AG194</f>
        <v>No_Action</v>
      </c>
      <c r="O194" s="13" t="str">
        <f t="shared" ref="O194:O257" ca="1" si="63">AI194</f>
        <v>No_Action</v>
      </c>
      <c r="P194" s="13" t="str">
        <f t="shared" ref="P194:P257" ca="1" si="64">W194</f>
        <v>No_Action</v>
      </c>
      <c r="Q194" s="13" t="str">
        <f t="shared" ref="Q194:Q257" ca="1" si="65">Y194</f>
        <v>No_Action</v>
      </c>
      <c r="R194" s="15"/>
      <c r="S194" s="15" t="str">
        <f t="shared" ref="S194:S257" ca="1" si="66">LEFT(W194,2)&amp;LEFT(Y194,2)</f>
        <v>NoNo</v>
      </c>
      <c r="T194" s="15"/>
      <c r="U194" s="15">
        <f t="shared" ref="U194:U257" ca="1" si="67">IF(K194&lt;L194,1,0)</f>
        <v>0</v>
      </c>
      <c r="V194" s="15">
        <f t="shared" ref="V194:V257" ca="1" si="68">IF(H194&gt;I194,1,0)</f>
        <v>0</v>
      </c>
      <c r="W194" s="15" t="str">
        <f t="shared" ref="W194:W257" ca="1" si="69">IF(SUM(U194:V194)=2,"Anticipatory_Sell","No_Action")</f>
        <v>No_Action</v>
      </c>
      <c r="X194" s="15"/>
      <c r="Y194" s="15" t="str">
        <f t="shared" ref="Y194:Y257" ca="1" si="70">IF(SUM(Z194:AA194)=2,"Confirm_Sell","No_Action")</f>
        <v>No_Action</v>
      </c>
      <c r="Z194" s="15">
        <f t="shared" ref="Z194:Z257" ca="1" si="71">IF(H194&gt;I194,1,0)</f>
        <v>0</v>
      </c>
      <c r="AA194" s="15">
        <f t="shared" ref="AA194:AA257" ca="1" si="72">IF(K194&lt;M194,1,0)</f>
        <v>0</v>
      </c>
      <c r="AB194" s="15"/>
      <c r="AC194" s="15" t="str">
        <f t="shared" ref="AC194:AC257" ca="1" si="73">LEFT(AG194,2)&amp;LEFT(AI194,2)</f>
        <v>NoNo</v>
      </c>
      <c r="AD194" s="15"/>
      <c r="AE194" s="15">
        <f t="shared" ref="AE194:AE257" ca="1" si="74">IF(K194&gt;L194,1,0)</f>
        <v>0</v>
      </c>
      <c r="AF194" s="16">
        <f t="shared" ref="AF194:AF257" ca="1" si="75">IF(H194&gt;I194,1,0)</f>
        <v>0</v>
      </c>
      <c r="AG194" s="16" t="str">
        <f t="shared" ref="AG194:AG257" ca="1" si="76">IF(SUM(AE194:AF194)=2,"Anticipatory_Buy","No_Action")</f>
        <v>No_Action</v>
      </c>
      <c r="AH194" s="15"/>
      <c r="AI194" s="15" t="str">
        <f t="shared" ref="AI194:AI257" ca="1" si="77">IF(SUM(AJ194:AK194)=2,"Confirm_Buy","No_Action")</f>
        <v>No_Action</v>
      </c>
      <c r="AJ194" s="15">
        <f t="shared" ref="AJ194:AJ257" ca="1" si="78">IF(H194&gt;I194,1,0)</f>
        <v>0</v>
      </c>
      <c r="AK194" s="15">
        <f t="shared" ref="AK194:AK257" ca="1" si="79">IF(K194&gt;M194,1,0)</f>
        <v>0</v>
      </c>
    </row>
    <row r="195" spans="1:37" ht="14.5" customHeight="1" x14ac:dyDescent="0.35">
      <c r="A195" s="12" t="s">
        <v>211</v>
      </c>
      <c r="B195" s="13">
        <f ca="1">IFERROR(__xludf.DUMMYFUNCTION("GOOGLEFINANCE(""NSE:""&amp;A195,""PRICE"")"),148.1)</f>
        <v>148.1</v>
      </c>
      <c r="C195" s="13">
        <f ca="1">IFERROR(__xludf.DUMMYFUNCTION("GOOGLEFINANCE(""NSE:""&amp;A195,""PRICEOPEN"")"),148.5)</f>
        <v>148.5</v>
      </c>
      <c r="D195" s="13">
        <f ca="1">IFERROR(__xludf.DUMMYFUNCTION("GOOGLEFINANCE(""NSE:""&amp;A195,""HIGH"")"),150.34)</f>
        <v>150.34</v>
      </c>
      <c r="E195" s="13">
        <f ca="1">IFERROR(__xludf.DUMMYFUNCTION("GOOGLEFINANCE(""NSE:""&amp;A195,""LOW"")"),147.6)</f>
        <v>147.6</v>
      </c>
      <c r="F195" s="13">
        <f ca="1">IFERROR(__xludf.DUMMYFUNCTION("GOOGLEFINANCE(""NSE:""&amp;A195,""closeyest"")"),148.81)</f>
        <v>148.81</v>
      </c>
      <c r="G195" s="14">
        <f t="shared" ca="1" si="60"/>
        <v>-2.7008777852802544E-3</v>
      </c>
      <c r="H195" s="13">
        <f ca="1">IFERROR(__xludf.DUMMYFUNCTION("GOOGLEFINANCE(""NSE:""&amp;A195,""VOLUME"")"),3736158)</f>
        <v>3736158</v>
      </c>
      <c r="I195" s="13" t="str">
        <f ca="1">IFERROR(__xludf.DUMMYFUNCTION("AVERAGE(index(GOOGLEFINANCE(""NSE:""&amp;$A195, ""volume"", today()-21, today()-1), , 2))"),"#N/A")</f>
        <v>#N/A</v>
      </c>
      <c r="J195" s="14" t="e">
        <f t="shared" ca="1" si="61"/>
        <v>#VALUE!</v>
      </c>
      <c r="K195" s="13" t="str">
        <f ca="1">IFERROR(__xludf.DUMMYFUNCTION("AVERAGE(index(GOOGLEFINANCE(""NSE:""&amp;$A195, ""close"", today()-6, today()-1), , 2))"),"#N/A")</f>
        <v>#N/A</v>
      </c>
      <c r="L195" s="13" t="str">
        <f ca="1">IFERROR(__xludf.DUMMYFUNCTION("AVERAGE(index(GOOGLEFINANCE(""NSE:""&amp;$A195, ""close"", today()-14, today()-1), , 2))"),"#N/A")</f>
        <v>#N/A</v>
      </c>
      <c r="M195" s="13" t="str">
        <f ca="1">IFERROR(__xludf.DUMMYFUNCTION("AVERAGE(index(GOOGLEFINANCE(""NSE:""&amp;$A195, ""close"", today()-22, today()-1), , 2))"),"#N/A")</f>
        <v>#N/A</v>
      </c>
      <c r="N195" s="13" t="str">
        <f t="shared" ca="1" si="62"/>
        <v>No_Action</v>
      </c>
      <c r="O195" s="13" t="str">
        <f t="shared" ca="1" si="63"/>
        <v>No_Action</v>
      </c>
      <c r="P195" s="13" t="str">
        <f t="shared" ca="1" si="64"/>
        <v>No_Action</v>
      </c>
      <c r="Q195" s="13" t="str">
        <f t="shared" ca="1" si="65"/>
        <v>No_Action</v>
      </c>
      <c r="R195" s="15"/>
      <c r="S195" s="15" t="str">
        <f t="shared" ca="1" si="66"/>
        <v>NoNo</v>
      </c>
      <c r="T195" s="15"/>
      <c r="U195" s="15">
        <f t="shared" ca="1" si="67"/>
        <v>0</v>
      </c>
      <c r="V195" s="15">
        <f t="shared" ca="1" si="68"/>
        <v>0</v>
      </c>
      <c r="W195" s="15" t="str">
        <f t="shared" ca="1" si="69"/>
        <v>No_Action</v>
      </c>
      <c r="X195" s="15"/>
      <c r="Y195" s="15" t="str">
        <f t="shared" ca="1" si="70"/>
        <v>No_Action</v>
      </c>
      <c r="Z195" s="15">
        <f t="shared" ca="1" si="71"/>
        <v>0</v>
      </c>
      <c r="AA195" s="15">
        <f t="shared" ca="1" si="72"/>
        <v>0</v>
      </c>
      <c r="AB195" s="15"/>
      <c r="AC195" s="15" t="str">
        <f t="shared" ca="1" si="73"/>
        <v>NoNo</v>
      </c>
      <c r="AD195" s="15"/>
      <c r="AE195" s="15">
        <f t="shared" ca="1" si="74"/>
        <v>0</v>
      </c>
      <c r="AF195" s="16">
        <f t="shared" ca="1" si="75"/>
        <v>0</v>
      </c>
      <c r="AG195" s="16" t="str">
        <f t="shared" ca="1" si="76"/>
        <v>No_Action</v>
      </c>
      <c r="AH195" s="15"/>
      <c r="AI195" s="15" t="str">
        <f t="shared" ca="1" si="77"/>
        <v>No_Action</v>
      </c>
      <c r="AJ195" s="15">
        <f t="shared" ca="1" si="78"/>
        <v>0</v>
      </c>
      <c r="AK195" s="15">
        <f t="shared" ca="1" si="79"/>
        <v>0</v>
      </c>
    </row>
    <row r="196" spans="1:37" ht="14.5" customHeight="1" x14ac:dyDescent="0.35">
      <c r="A196" s="12" t="s">
        <v>212</v>
      </c>
      <c r="B196" s="13">
        <f ca="1">IFERROR(__xludf.DUMMYFUNCTION("GOOGLEFINANCE(""NSE:""&amp;A196,""PRICE"")"),3954.75)</f>
        <v>3954.75</v>
      </c>
      <c r="C196" s="13">
        <f ca="1">IFERROR(__xludf.DUMMYFUNCTION("GOOGLEFINANCE(""NSE:""&amp;A196,""PRICEOPEN"")"),3867.5)</f>
        <v>3867.5</v>
      </c>
      <c r="D196" s="13">
        <f ca="1">IFERROR(__xludf.DUMMYFUNCTION("GOOGLEFINANCE(""NSE:""&amp;A196,""HIGH"")"),3959)</f>
        <v>3959</v>
      </c>
      <c r="E196" s="13">
        <f ca="1">IFERROR(__xludf.DUMMYFUNCTION("GOOGLEFINANCE(""NSE:""&amp;A196,""LOW"")"),3867.5)</f>
        <v>3867.5</v>
      </c>
      <c r="F196" s="13">
        <f ca="1">IFERROR(__xludf.DUMMYFUNCTION("GOOGLEFINANCE(""NSE:""&amp;A196,""closeyest"")"),3866.7)</f>
        <v>3866.7</v>
      </c>
      <c r="G196" s="14">
        <f t="shared" ca="1" si="60"/>
        <v>2.2062077248877932E-2</v>
      </c>
      <c r="H196" s="13">
        <f ca="1">IFERROR(__xludf.DUMMYFUNCTION("GOOGLEFINANCE(""NSE:""&amp;A196,""VOLUME"")"),3332753)</f>
        <v>3332753</v>
      </c>
      <c r="I196" s="13" t="str">
        <f ca="1">IFERROR(__xludf.DUMMYFUNCTION("AVERAGE(index(GOOGLEFINANCE(""NSE:""&amp;$A196, ""volume"", today()-21, today()-1), , 2))"),"#N/A")</f>
        <v>#N/A</v>
      </c>
      <c r="J196" s="14" t="e">
        <f t="shared" ca="1" si="61"/>
        <v>#VALUE!</v>
      </c>
      <c r="K196" s="13" t="str">
        <f ca="1">IFERROR(__xludf.DUMMYFUNCTION("AVERAGE(index(GOOGLEFINANCE(""NSE:""&amp;$A196, ""close"", today()-6, today()-1), , 2))"),"#N/A")</f>
        <v>#N/A</v>
      </c>
      <c r="L196" s="13" t="str">
        <f ca="1">IFERROR(__xludf.DUMMYFUNCTION("AVERAGE(index(GOOGLEFINANCE(""NSE:""&amp;$A196, ""close"", today()-14, today()-1), , 2))"),"#N/A")</f>
        <v>#N/A</v>
      </c>
      <c r="M196" s="13" t="str">
        <f ca="1">IFERROR(__xludf.DUMMYFUNCTION("AVERAGE(index(GOOGLEFINANCE(""NSE:""&amp;$A196, ""close"", today()-22, today()-1), , 2))"),"#N/A")</f>
        <v>#N/A</v>
      </c>
      <c r="N196" s="13" t="str">
        <f t="shared" ca="1" si="62"/>
        <v>No_Action</v>
      </c>
      <c r="O196" s="13" t="str">
        <f t="shared" ca="1" si="63"/>
        <v>No_Action</v>
      </c>
      <c r="P196" s="13" t="str">
        <f t="shared" ca="1" si="64"/>
        <v>No_Action</v>
      </c>
      <c r="Q196" s="13" t="str">
        <f t="shared" ca="1" si="65"/>
        <v>No_Action</v>
      </c>
      <c r="R196" s="15"/>
      <c r="S196" s="15" t="str">
        <f t="shared" ca="1" si="66"/>
        <v>NoNo</v>
      </c>
      <c r="T196" s="15"/>
      <c r="U196" s="15">
        <f t="shared" ca="1" si="67"/>
        <v>0</v>
      </c>
      <c r="V196" s="15">
        <f t="shared" ca="1" si="68"/>
        <v>0</v>
      </c>
      <c r="W196" s="15" t="str">
        <f t="shared" ca="1" si="69"/>
        <v>No_Action</v>
      </c>
      <c r="X196" s="15"/>
      <c r="Y196" s="15" t="str">
        <f t="shared" ca="1" si="70"/>
        <v>No_Action</v>
      </c>
      <c r="Z196" s="15">
        <f t="shared" ca="1" si="71"/>
        <v>0</v>
      </c>
      <c r="AA196" s="15">
        <f t="shared" ca="1" si="72"/>
        <v>0</v>
      </c>
      <c r="AB196" s="15"/>
      <c r="AC196" s="15" t="str">
        <f t="shared" ca="1" si="73"/>
        <v>NoNo</v>
      </c>
      <c r="AD196" s="15"/>
      <c r="AE196" s="15">
        <f t="shared" ca="1" si="74"/>
        <v>0</v>
      </c>
      <c r="AF196" s="16">
        <f t="shared" ca="1" si="75"/>
        <v>0</v>
      </c>
      <c r="AG196" s="16" t="str">
        <f t="shared" ca="1" si="76"/>
        <v>No_Action</v>
      </c>
      <c r="AH196" s="15"/>
      <c r="AI196" s="15" t="str">
        <f t="shared" ca="1" si="77"/>
        <v>No_Action</v>
      </c>
      <c r="AJ196" s="15">
        <f t="shared" ca="1" si="78"/>
        <v>0</v>
      </c>
      <c r="AK196" s="15">
        <f t="shared" ca="1" si="79"/>
        <v>0</v>
      </c>
    </row>
    <row r="197" spans="1:37" ht="14.5" customHeight="1" x14ac:dyDescent="0.35">
      <c r="A197" s="12" t="s">
        <v>213</v>
      </c>
      <c r="B197" s="13">
        <f ca="1">IFERROR(__xludf.DUMMYFUNCTION("GOOGLEFINANCE(""NSE:""&amp;A197,""PRICE"")"),483)</f>
        <v>483</v>
      </c>
      <c r="C197" s="13">
        <f ca="1">IFERROR(__xludf.DUMMYFUNCTION("GOOGLEFINANCE(""NSE:""&amp;A197,""PRICEOPEN"")"),472.1)</f>
        <v>472.1</v>
      </c>
      <c r="D197" s="13">
        <f ca="1">IFERROR(__xludf.DUMMYFUNCTION("GOOGLEFINANCE(""NSE:""&amp;A197,""HIGH"")"),490)</f>
        <v>490</v>
      </c>
      <c r="E197" s="13">
        <f ca="1">IFERROR(__xludf.DUMMYFUNCTION("GOOGLEFINANCE(""NSE:""&amp;A197,""LOW"")"),467)</f>
        <v>467</v>
      </c>
      <c r="F197" s="13">
        <f ca="1">IFERROR(__xludf.DUMMYFUNCTION("GOOGLEFINANCE(""NSE:""&amp;A197,""closeyest"")"),471.8)</f>
        <v>471.8</v>
      </c>
      <c r="G197" s="14">
        <f t="shared" ca="1" si="60"/>
        <v>2.2567287784679042E-2</v>
      </c>
      <c r="H197" s="13">
        <f ca="1">IFERROR(__xludf.DUMMYFUNCTION("GOOGLEFINANCE(""NSE:""&amp;A197,""VOLUME"")"),674758)</f>
        <v>674758</v>
      </c>
      <c r="I197" s="13" t="str">
        <f ca="1">IFERROR(__xludf.DUMMYFUNCTION("AVERAGE(index(GOOGLEFINANCE(""NSE:""&amp;$A197, ""volume"", today()-21, today()-1), , 2))"),"#N/A")</f>
        <v>#N/A</v>
      </c>
      <c r="J197" s="14" t="e">
        <f t="shared" ca="1" si="61"/>
        <v>#VALUE!</v>
      </c>
      <c r="K197" s="13" t="str">
        <f ca="1">IFERROR(__xludf.DUMMYFUNCTION("AVERAGE(index(GOOGLEFINANCE(""NSE:""&amp;$A197, ""close"", today()-6, today()-1), , 2))"),"#N/A")</f>
        <v>#N/A</v>
      </c>
      <c r="L197" s="13" t="str">
        <f ca="1">IFERROR(__xludf.DUMMYFUNCTION("AVERAGE(index(GOOGLEFINANCE(""NSE:""&amp;$A197, ""close"", today()-14, today()-1), , 2))"),"#N/A")</f>
        <v>#N/A</v>
      </c>
      <c r="M197" s="13" t="str">
        <f ca="1">IFERROR(__xludf.DUMMYFUNCTION("AVERAGE(index(GOOGLEFINANCE(""NSE:""&amp;$A197, ""close"", today()-22, today()-1), , 2))"),"#N/A")</f>
        <v>#N/A</v>
      </c>
      <c r="N197" s="13" t="str">
        <f t="shared" ca="1" si="62"/>
        <v>No_Action</v>
      </c>
      <c r="O197" s="13" t="str">
        <f t="shared" ca="1" si="63"/>
        <v>No_Action</v>
      </c>
      <c r="P197" s="13" t="str">
        <f t="shared" ca="1" si="64"/>
        <v>No_Action</v>
      </c>
      <c r="Q197" s="13" t="str">
        <f t="shared" ca="1" si="65"/>
        <v>No_Action</v>
      </c>
      <c r="R197" s="15"/>
      <c r="S197" s="15" t="str">
        <f t="shared" ca="1" si="66"/>
        <v>NoNo</v>
      </c>
      <c r="T197" s="15"/>
      <c r="U197" s="15">
        <f t="shared" ca="1" si="67"/>
        <v>0</v>
      </c>
      <c r="V197" s="15">
        <f t="shared" ca="1" si="68"/>
        <v>0</v>
      </c>
      <c r="W197" s="15" t="str">
        <f t="shared" ca="1" si="69"/>
        <v>No_Action</v>
      </c>
      <c r="X197" s="15"/>
      <c r="Y197" s="15" t="str">
        <f t="shared" ca="1" si="70"/>
        <v>No_Action</v>
      </c>
      <c r="Z197" s="15">
        <f t="shared" ca="1" si="71"/>
        <v>0</v>
      </c>
      <c r="AA197" s="15">
        <f t="shared" ca="1" si="72"/>
        <v>0</v>
      </c>
      <c r="AB197" s="15"/>
      <c r="AC197" s="15" t="str">
        <f t="shared" ca="1" si="73"/>
        <v>NoNo</v>
      </c>
      <c r="AD197" s="15"/>
      <c r="AE197" s="15">
        <f t="shared" ca="1" si="74"/>
        <v>0</v>
      </c>
      <c r="AF197" s="16">
        <f t="shared" ca="1" si="75"/>
        <v>0</v>
      </c>
      <c r="AG197" s="16" t="str">
        <f t="shared" ca="1" si="76"/>
        <v>No_Action</v>
      </c>
      <c r="AH197" s="15"/>
      <c r="AI197" s="15" t="str">
        <f t="shared" ca="1" si="77"/>
        <v>No_Action</v>
      </c>
      <c r="AJ197" s="15">
        <f t="shared" ca="1" si="78"/>
        <v>0</v>
      </c>
      <c r="AK197" s="15">
        <f t="shared" ca="1" si="79"/>
        <v>0</v>
      </c>
    </row>
    <row r="198" spans="1:37" ht="14.5" customHeight="1" x14ac:dyDescent="0.35">
      <c r="A198" s="12" t="s">
        <v>214</v>
      </c>
      <c r="B198" s="13">
        <f ca="1">IFERROR(__xludf.DUMMYFUNCTION("GOOGLEFINANCE(""NSE:""&amp;A198,""PRICE"")"),141.64)</f>
        <v>141.63999999999999</v>
      </c>
      <c r="C198" s="13">
        <f ca="1">IFERROR(__xludf.DUMMYFUNCTION("GOOGLEFINANCE(""NSE:""&amp;A198,""PRICEOPEN"")"),138.55)</f>
        <v>138.55000000000001</v>
      </c>
      <c r="D198" s="13">
        <f ca="1">IFERROR(__xludf.DUMMYFUNCTION("GOOGLEFINANCE(""NSE:""&amp;A198,""HIGH"")"),144.1)</f>
        <v>144.1</v>
      </c>
      <c r="E198" s="13">
        <f ca="1">IFERROR(__xludf.DUMMYFUNCTION("GOOGLEFINANCE(""NSE:""&amp;A198,""LOW"")"),138.05)</f>
        <v>138.05000000000001</v>
      </c>
      <c r="F198" s="13">
        <f ca="1">IFERROR(__xludf.DUMMYFUNCTION("GOOGLEFINANCE(""NSE:""&amp;A198,""closeyest"")"),137.82)</f>
        <v>137.82</v>
      </c>
      <c r="G198" s="14">
        <f t="shared" ca="1" si="60"/>
        <v>2.181587122281824E-2</v>
      </c>
      <c r="H198" s="13">
        <f ca="1">IFERROR(__xludf.DUMMYFUNCTION("GOOGLEFINANCE(""NSE:""&amp;A198,""VOLUME"")"),10959490)</f>
        <v>10959490</v>
      </c>
      <c r="I198" s="13" t="str">
        <f ca="1">IFERROR(__xludf.DUMMYFUNCTION("AVERAGE(index(GOOGLEFINANCE(""NSE:""&amp;$A198, ""volume"", today()-21, today()-1), , 2))"),"#N/A")</f>
        <v>#N/A</v>
      </c>
      <c r="J198" s="14" t="e">
        <f t="shared" ca="1" si="61"/>
        <v>#VALUE!</v>
      </c>
      <c r="K198" s="13" t="str">
        <f ca="1">IFERROR(__xludf.DUMMYFUNCTION("AVERAGE(index(GOOGLEFINANCE(""NSE:""&amp;$A198, ""close"", today()-6, today()-1), , 2))"),"#N/A")</f>
        <v>#N/A</v>
      </c>
      <c r="L198" s="13" t="str">
        <f ca="1">IFERROR(__xludf.DUMMYFUNCTION("AVERAGE(index(GOOGLEFINANCE(""NSE:""&amp;$A198, ""close"", today()-14, today()-1), , 2))"),"#N/A")</f>
        <v>#N/A</v>
      </c>
      <c r="M198" s="13" t="str">
        <f ca="1">IFERROR(__xludf.DUMMYFUNCTION("AVERAGE(index(GOOGLEFINANCE(""NSE:""&amp;$A198, ""close"", today()-22, today()-1), , 2))"),"#N/A")</f>
        <v>#N/A</v>
      </c>
      <c r="N198" s="13" t="str">
        <f t="shared" ca="1" si="62"/>
        <v>No_Action</v>
      </c>
      <c r="O198" s="13" t="str">
        <f t="shared" ca="1" si="63"/>
        <v>No_Action</v>
      </c>
      <c r="P198" s="13" t="str">
        <f t="shared" ca="1" si="64"/>
        <v>No_Action</v>
      </c>
      <c r="Q198" s="13" t="str">
        <f t="shared" ca="1" si="65"/>
        <v>No_Action</v>
      </c>
      <c r="R198" s="15"/>
      <c r="S198" s="15" t="str">
        <f t="shared" ca="1" si="66"/>
        <v>NoNo</v>
      </c>
      <c r="T198" s="15"/>
      <c r="U198" s="15">
        <f t="shared" ca="1" si="67"/>
        <v>0</v>
      </c>
      <c r="V198" s="15">
        <f t="shared" ca="1" si="68"/>
        <v>0</v>
      </c>
      <c r="W198" s="15" t="str">
        <f t="shared" ca="1" si="69"/>
        <v>No_Action</v>
      </c>
      <c r="X198" s="15"/>
      <c r="Y198" s="15" t="str">
        <f t="shared" ca="1" si="70"/>
        <v>No_Action</v>
      </c>
      <c r="Z198" s="15">
        <f t="shared" ca="1" si="71"/>
        <v>0</v>
      </c>
      <c r="AA198" s="15">
        <f t="shared" ca="1" si="72"/>
        <v>0</v>
      </c>
      <c r="AB198" s="15"/>
      <c r="AC198" s="15" t="str">
        <f t="shared" ca="1" si="73"/>
        <v>NoNo</v>
      </c>
      <c r="AD198" s="15"/>
      <c r="AE198" s="15">
        <f t="shared" ca="1" si="74"/>
        <v>0</v>
      </c>
      <c r="AF198" s="16">
        <f t="shared" ca="1" si="75"/>
        <v>0</v>
      </c>
      <c r="AG198" s="16" t="str">
        <f t="shared" ca="1" si="76"/>
        <v>No_Action</v>
      </c>
      <c r="AH198" s="15"/>
      <c r="AI198" s="15" t="str">
        <f t="shared" ca="1" si="77"/>
        <v>No_Action</v>
      </c>
      <c r="AJ198" s="15">
        <f t="shared" ca="1" si="78"/>
        <v>0</v>
      </c>
      <c r="AK198" s="15">
        <f t="shared" ca="1" si="79"/>
        <v>0</v>
      </c>
    </row>
    <row r="199" spans="1:37" ht="14.5" customHeight="1" x14ac:dyDescent="0.35">
      <c r="A199" s="12" t="s">
        <v>215</v>
      </c>
      <c r="B199" s="13">
        <f ca="1">IFERROR(__xludf.DUMMYFUNCTION("GOOGLEFINANCE(""NSE:""&amp;A199,""PRICE"")"),630.45)</f>
        <v>630.45000000000005</v>
      </c>
      <c r="C199" s="13">
        <f ca="1">IFERROR(__xludf.DUMMYFUNCTION("GOOGLEFINANCE(""NSE:""&amp;A199,""PRICEOPEN"")"),641.25)</f>
        <v>641.25</v>
      </c>
      <c r="D199" s="13">
        <f ca="1">IFERROR(__xludf.DUMMYFUNCTION("GOOGLEFINANCE(""NSE:""&amp;A199,""HIGH"")"),643.9)</f>
        <v>643.9</v>
      </c>
      <c r="E199" s="13">
        <f ca="1">IFERROR(__xludf.DUMMYFUNCTION("GOOGLEFINANCE(""NSE:""&amp;A199,""LOW"")"),628.95)</f>
        <v>628.95000000000005</v>
      </c>
      <c r="F199" s="13">
        <f ca="1">IFERROR(__xludf.DUMMYFUNCTION("GOOGLEFINANCE(""NSE:""&amp;A199,""closeyest"")"),641.25)</f>
        <v>641.25</v>
      </c>
      <c r="G199" s="14">
        <f t="shared" ca="1" si="60"/>
        <v>-1.7130620985010635E-2</v>
      </c>
      <c r="H199" s="13">
        <f ca="1">IFERROR(__xludf.DUMMYFUNCTION("GOOGLEFINANCE(""NSE:""&amp;A199,""VOLUME"")"),824080)</f>
        <v>824080</v>
      </c>
      <c r="I199" s="13" t="str">
        <f ca="1">IFERROR(__xludf.DUMMYFUNCTION("AVERAGE(index(GOOGLEFINANCE(""NSE:""&amp;$A199, ""volume"", today()-21, today()-1), , 2))"),"#N/A")</f>
        <v>#N/A</v>
      </c>
      <c r="J199" s="14" t="e">
        <f t="shared" ca="1" si="61"/>
        <v>#VALUE!</v>
      </c>
      <c r="K199" s="13" t="str">
        <f ca="1">IFERROR(__xludf.DUMMYFUNCTION("AVERAGE(index(GOOGLEFINANCE(""NSE:""&amp;$A199, ""close"", today()-6, today()-1), , 2))"),"#N/A")</f>
        <v>#N/A</v>
      </c>
      <c r="L199" s="13" t="str">
        <f ca="1">IFERROR(__xludf.DUMMYFUNCTION("AVERAGE(index(GOOGLEFINANCE(""NSE:""&amp;$A199, ""close"", today()-14, today()-1), , 2))"),"#N/A")</f>
        <v>#N/A</v>
      </c>
      <c r="M199" s="13" t="str">
        <f ca="1">IFERROR(__xludf.DUMMYFUNCTION("AVERAGE(index(GOOGLEFINANCE(""NSE:""&amp;$A199, ""close"", today()-22, today()-1), , 2))"),"#N/A")</f>
        <v>#N/A</v>
      </c>
      <c r="N199" s="13" t="str">
        <f t="shared" ca="1" si="62"/>
        <v>No_Action</v>
      </c>
      <c r="O199" s="13" t="str">
        <f t="shared" ca="1" si="63"/>
        <v>No_Action</v>
      </c>
      <c r="P199" s="13" t="str">
        <f t="shared" ca="1" si="64"/>
        <v>No_Action</v>
      </c>
      <c r="Q199" s="13" t="str">
        <f t="shared" ca="1" si="65"/>
        <v>No_Action</v>
      </c>
      <c r="R199" s="15"/>
      <c r="S199" s="15" t="str">
        <f t="shared" ca="1" si="66"/>
        <v>NoNo</v>
      </c>
      <c r="T199" s="15"/>
      <c r="U199" s="15">
        <f t="shared" ca="1" si="67"/>
        <v>0</v>
      </c>
      <c r="V199" s="15">
        <f t="shared" ca="1" si="68"/>
        <v>0</v>
      </c>
      <c r="W199" s="15" t="str">
        <f t="shared" ca="1" si="69"/>
        <v>No_Action</v>
      </c>
      <c r="X199" s="15"/>
      <c r="Y199" s="15" t="str">
        <f t="shared" ca="1" si="70"/>
        <v>No_Action</v>
      </c>
      <c r="Z199" s="15">
        <f t="shared" ca="1" si="71"/>
        <v>0</v>
      </c>
      <c r="AA199" s="15">
        <f t="shared" ca="1" si="72"/>
        <v>0</v>
      </c>
      <c r="AB199" s="15"/>
      <c r="AC199" s="15" t="str">
        <f t="shared" ca="1" si="73"/>
        <v>NoNo</v>
      </c>
      <c r="AD199" s="15"/>
      <c r="AE199" s="15">
        <f t="shared" ca="1" si="74"/>
        <v>0</v>
      </c>
      <c r="AF199" s="16">
        <f t="shared" ca="1" si="75"/>
        <v>0</v>
      </c>
      <c r="AG199" s="16" t="str">
        <f t="shared" ca="1" si="76"/>
        <v>No_Action</v>
      </c>
      <c r="AH199" s="15"/>
      <c r="AI199" s="15" t="str">
        <f t="shared" ca="1" si="77"/>
        <v>No_Action</v>
      </c>
      <c r="AJ199" s="15">
        <f t="shared" ca="1" si="78"/>
        <v>0</v>
      </c>
      <c r="AK199" s="15">
        <f t="shared" ca="1" si="79"/>
        <v>0</v>
      </c>
    </row>
    <row r="200" spans="1:37" ht="14.5" customHeight="1" x14ac:dyDescent="0.35">
      <c r="A200" s="12" t="s">
        <v>216</v>
      </c>
      <c r="B200" s="13">
        <f ca="1">IFERROR(__xludf.DUMMYFUNCTION("GOOGLEFINANCE(""NSE:""&amp;A200,""PRICE"")"),391.6)</f>
        <v>391.6</v>
      </c>
      <c r="C200" s="13">
        <f ca="1">IFERROR(__xludf.DUMMYFUNCTION("GOOGLEFINANCE(""NSE:""&amp;A200,""PRICEOPEN"")"),399.05)</f>
        <v>399.05</v>
      </c>
      <c r="D200" s="13">
        <f ca="1">IFERROR(__xludf.DUMMYFUNCTION("GOOGLEFINANCE(""NSE:""&amp;A200,""HIGH"")"),399.05)</f>
        <v>399.05</v>
      </c>
      <c r="E200" s="13">
        <f ca="1">IFERROR(__xludf.DUMMYFUNCTION("GOOGLEFINANCE(""NSE:""&amp;A200,""LOW"")"),386.1)</f>
        <v>386.1</v>
      </c>
      <c r="F200" s="13">
        <f ca="1">IFERROR(__xludf.DUMMYFUNCTION("GOOGLEFINANCE(""NSE:""&amp;A200,""closeyest"")"),400.7)</f>
        <v>400.7</v>
      </c>
      <c r="G200" s="14">
        <f t="shared" ca="1" si="60"/>
        <v>-1.9024514811031634E-2</v>
      </c>
      <c r="H200" s="13">
        <f ca="1">IFERROR(__xludf.DUMMYFUNCTION("GOOGLEFINANCE(""NSE:""&amp;A200,""VOLUME"")"),134690)</f>
        <v>134690</v>
      </c>
      <c r="I200" s="13" t="str">
        <f ca="1">IFERROR(__xludf.DUMMYFUNCTION("AVERAGE(index(GOOGLEFINANCE(""NSE:""&amp;$A200, ""volume"", today()-21, today()-1), , 2))"),"#N/A")</f>
        <v>#N/A</v>
      </c>
      <c r="J200" s="14" t="e">
        <f t="shared" ca="1" si="61"/>
        <v>#VALUE!</v>
      </c>
      <c r="K200" s="13" t="str">
        <f ca="1">IFERROR(__xludf.DUMMYFUNCTION("AVERAGE(index(GOOGLEFINANCE(""NSE:""&amp;$A200, ""close"", today()-6, today()-1), , 2))"),"#N/A")</f>
        <v>#N/A</v>
      </c>
      <c r="L200" s="13" t="str">
        <f ca="1">IFERROR(__xludf.DUMMYFUNCTION("AVERAGE(index(GOOGLEFINANCE(""NSE:""&amp;$A200, ""close"", today()-14, today()-1), , 2))"),"#N/A")</f>
        <v>#N/A</v>
      </c>
      <c r="M200" s="13" t="str">
        <f ca="1">IFERROR(__xludf.DUMMYFUNCTION("AVERAGE(index(GOOGLEFINANCE(""NSE:""&amp;$A200, ""close"", today()-22, today()-1), , 2))"),"#N/A")</f>
        <v>#N/A</v>
      </c>
      <c r="N200" s="13" t="str">
        <f t="shared" ca="1" si="62"/>
        <v>No_Action</v>
      </c>
      <c r="O200" s="13" t="str">
        <f t="shared" ca="1" si="63"/>
        <v>No_Action</v>
      </c>
      <c r="P200" s="13" t="str">
        <f t="shared" ca="1" si="64"/>
        <v>No_Action</v>
      </c>
      <c r="Q200" s="13" t="str">
        <f t="shared" ca="1" si="65"/>
        <v>No_Action</v>
      </c>
      <c r="R200" s="15"/>
      <c r="S200" s="15" t="str">
        <f t="shared" ca="1" si="66"/>
        <v>NoNo</v>
      </c>
      <c r="T200" s="15"/>
      <c r="U200" s="15">
        <f t="shared" ca="1" si="67"/>
        <v>0</v>
      </c>
      <c r="V200" s="15">
        <f t="shared" ca="1" si="68"/>
        <v>0</v>
      </c>
      <c r="W200" s="15" t="str">
        <f t="shared" ca="1" si="69"/>
        <v>No_Action</v>
      </c>
      <c r="X200" s="15"/>
      <c r="Y200" s="15" t="str">
        <f t="shared" ca="1" si="70"/>
        <v>No_Action</v>
      </c>
      <c r="Z200" s="15">
        <f t="shared" ca="1" si="71"/>
        <v>0</v>
      </c>
      <c r="AA200" s="15">
        <f t="shared" ca="1" si="72"/>
        <v>0</v>
      </c>
      <c r="AB200" s="15"/>
      <c r="AC200" s="15" t="str">
        <f t="shared" ca="1" si="73"/>
        <v>NoNo</v>
      </c>
      <c r="AD200" s="15"/>
      <c r="AE200" s="15">
        <f t="shared" ca="1" si="74"/>
        <v>0</v>
      </c>
      <c r="AF200" s="16">
        <f t="shared" ca="1" si="75"/>
        <v>0</v>
      </c>
      <c r="AG200" s="16" t="str">
        <f t="shared" ca="1" si="76"/>
        <v>No_Action</v>
      </c>
      <c r="AH200" s="15"/>
      <c r="AI200" s="15" t="str">
        <f t="shared" ca="1" si="77"/>
        <v>No_Action</v>
      </c>
      <c r="AJ200" s="15">
        <f t="shared" ca="1" si="78"/>
        <v>0</v>
      </c>
      <c r="AK200" s="15">
        <f t="shared" ca="1" si="79"/>
        <v>0</v>
      </c>
    </row>
    <row r="201" spans="1:37" ht="14.5" customHeight="1" x14ac:dyDescent="0.35">
      <c r="A201" s="12" t="s">
        <v>217</v>
      </c>
      <c r="B201" s="13">
        <f ca="1">IFERROR(__xludf.DUMMYFUNCTION("GOOGLEFINANCE(""NSE:""&amp;A201,""PRICE"")"),957)</f>
        <v>957</v>
      </c>
      <c r="C201" s="13">
        <f ca="1">IFERROR(__xludf.DUMMYFUNCTION("GOOGLEFINANCE(""NSE:""&amp;A201,""PRICEOPEN"")"),929.95)</f>
        <v>929.95</v>
      </c>
      <c r="D201" s="13">
        <f ca="1">IFERROR(__xludf.DUMMYFUNCTION("GOOGLEFINANCE(""NSE:""&amp;A201,""HIGH"")"),979.5)</f>
        <v>979.5</v>
      </c>
      <c r="E201" s="13">
        <f ca="1">IFERROR(__xludf.DUMMYFUNCTION("GOOGLEFINANCE(""NSE:""&amp;A201,""LOW"")"),921.15)</f>
        <v>921.15</v>
      </c>
      <c r="F201" s="13">
        <f ca="1">IFERROR(__xludf.DUMMYFUNCTION("GOOGLEFINANCE(""NSE:""&amp;A201,""closeyest"")"),919.35)</f>
        <v>919.35</v>
      </c>
      <c r="G201" s="14">
        <f t="shared" ca="1" si="60"/>
        <v>2.826541274817132E-2</v>
      </c>
      <c r="H201" s="13">
        <f ca="1">IFERROR(__xludf.DUMMYFUNCTION("GOOGLEFINANCE(""NSE:""&amp;A201,""VOLUME"")"),460555)</f>
        <v>460555</v>
      </c>
      <c r="I201" s="13" t="str">
        <f ca="1">IFERROR(__xludf.DUMMYFUNCTION("AVERAGE(index(GOOGLEFINANCE(""NSE:""&amp;$A201, ""volume"", today()-21, today()-1), , 2))"),"#N/A")</f>
        <v>#N/A</v>
      </c>
      <c r="J201" s="14" t="e">
        <f t="shared" ca="1" si="61"/>
        <v>#VALUE!</v>
      </c>
      <c r="K201" s="13" t="str">
        <f ca="1">IFERROR(__xludf.DUMMYFUNCTION("AVERAGE(index(GOOGLEFINANCE(""NSE:""&amp;$A201, ""close"", today()-6, today()-1), , 2))"),"#N/A")</f>
        <v>#N/A</v>
      </c>
      <c r="L201" s="13" t="str">
        <f ca="1">IFERROR(__xludf.DUMMYFUNCTION("AVERAGE(index(GOOGLEFINANCE(""NSE:""&amp;$A201, ""close"", today()-14, today()-1), , 2))"),"#N/A")</f>
        <v>#N/A</v>
      </c>
      <c r="M201" s="13" t="str">
        <f ca="1">IFERROR(__xludf.DUMMYFUNCTION("AVERAGE(index(GOOGLEFINANCE(""NSE:""&amp;$A201, ""close"", today()-22, today()-1), , 2))"),"#N/A")</f>
        <v>#N/A</v>
      </c>
      <c r="N201" s="13" t="str">
        <f t="shared" ca="1" si="62"/>
        <v>No_Action</v>
      </c>
      <c r="O201" s="13" t="str">
        <f t="shared" ca="1" si="63"/>
        <v>No_Action</v>
      </c>
      <c r="P201" s="13" t="str">
        <f t="shared" ca="1" si="64"/>
        <v>No_Action</v>
      </c>
      <c r="Q201" s="13" t="str">
        <f t="shared" ca="1" si="65"/>
        <v>No_Action</v>
      </c>
      <c r="R201" s="15"/>
      <c r="S201" s="15" t="str">
        <f t="shared" ca="1" si="66"/>
        <v>NoNo</v>
      </c>
      <c r="T201" s="15"/>
      <c r="U201" s="15">
        <f t="shared" ca="1" si="67"/>
        <v>0</v>
      </c>
      <c r="V201" s="15">
        <f t="shared" ca="1" si="68"/>
        <v>0</v>
      </c>
      <c r="W201" s="15" t="str">
        <f t="shared" ca="1" si="69"/>
        <v>No_Action</v>
      </c>
      <c r="X201" s="15"/>
      <c r="Y201" s="15" t="str">
        <f t="shared" ca="1" si="70"/>
        <v>No_Action</v>
      </c>
      <c r="Z201" s="15">
        <f t="shared" ca="1" si="71"/>
        <v>0</v>
      </c>
      <c r="AA201" s="15">
        <f t="shared" ca="1" si="72"/>
        <v>0</v>
      </c>
      <c r="AB201" s="15"/>
      <c r="AC201" s="15" t="str">
        <f t="shared" ca="1" si="73"/>
        <v>NoNo</v>
      </c>
      <c r="AD201" s="15"/>
      <c r="AE201" s="15">
        <f t="shared" ca="1" si="74"/>
        <v>0</v>
      </c>
      <c r="AF201" s="16">
        <f t="shared" ca="1" si="75"/>
        <v>0</v>
      </c>
      <c r="AG201" s="16" t="str">
        <f t="shared" ca="1" si="76"/>
        <v>No_Action</v>
      </c>
      <c r="AH201" s="15"/>
      <c r="AI201" s="15" t="str">
        <f t="shared" ca="1" si="77"/>
        <v>No_Action</v>
      </c>
      <c r="AJ201" s="15">
        <f t="shared" ca="1" si="78"/>
        <v>0</v>
      </c>
      <c r="AK201" s="15">
        <f t="shared" ca="1" si="79"/>
        <v>0</v>
      </c>
    </row>
    <row r="202" spans="1:37" ht="14.5" customHeight="1" x14ac:dyDescent="0.35">
      <c r="A202" s="12" t="s">
        <v>218</v>
      </c>
      <c r="B202" s="13">
        <f ca="1">IFERROR(__xludf.DUMMYFUNCTION("GOOGLEFINANCE(""NSE:""&amp;A202,""PRICE"")"),2110)</f>
        <v>2110</v>
      </c>
      <c r="C202" s="13">
        <f ca="1">IFERROR(__xludf.DUMMYFUNCTION("GOOGLEFINANCE(""NSE:""&amp;A202,""PRICEOPEN"")"),2136)</f>
        <v>2136</v>
      </c>
      <c r="D202" s="13">
        <f ca="1">IFERROR(__xludf.DUMMYFUNCTION("GOOGLEFINANCE(""NSE:""&amp;A202,""HIGH"")"),2142)</f>
        <v>2142</v>
      </c>
      <c r="E202" s="13">
        <f ca="1">IFERROR(__xludf.DUMMYFUNCTION("GOOGLEFINANCE(""NSE:""&amp;A202,""LOW"")"),2097.45)</f>
        <v>2097.4499999999998</v>
      </c>
      <c r="F202" s="13">
        <f ca="1">IFERROR(__xludf.DUMMYFUNCTION("GOOGLEFINANCE(""NSE:""&amp;A202,""closeyest"")"),2133.55)</f>
        <v>2133.5500000000002</v>
      </c>
      <c r="G202" s="14">
        <f t="shared" ca="1" si="60"/>
        <v>-1.2322274881516588E-2</v>
      </c>
      <c r="H202" s="13">
        <f ca="1">IFERROR(__xludf.DUMMYFUNCTION("GOOGLEFINANCE(""NSE:""&amp;A202,""VOLUME"")"),599944)</f>
        <v>599944</v>
      </c>
      <c r="I202" s="13" t="str">
        <f ca="1">IFERROR(__xludf.DUMMYFUNCTION("AVERAGE(index(GOOGLEFINANCE(""NSE:""&amp;$A202, ""volume"", today()-21, today()-1), , 2))"),"#N/A")</f>
        <v>#N/A</v>
      </c>
      <c r="J202" s="14" t="e">
        <f t="shared" ca="1" si="61"/>
        <v>#VALUE!</v>
      </c>
      <c r="K202" s="13" t="str">
        <f ca="1">IFERROR(__xludf.DUMMYFUNCTION("AVERAGE(index(GOOGLEFINANCE(""NSE:""&amp;$A202, ""close"", today()-6, today()-1), , 2))"),"#N/A")</f>
        <v>#N/A</v>
      </c>
      <c r="L202" s="13" t="str">
        <f ca="1">IFERROR(__xludf.DUMMYFUNCTION("AVERAGE(index(GOOGLEFINANCE(""NSE:""&amp;$A202, ""close"", today()-14, today()-1), , 2))"),"#N/A")</f>
        <v>#N/A</v>
      </c>
      <c r="M202" s="13" t="str">
        <f ca="1">IFERROR(__xludf.DUMMYFUNCTION("AVERAGE(index(GOOGLEFINANCE(""NSE:""&amp;$A202, ""close"", today()-22, today()-1), , 2))"),"#N/A")</f>
        <v>#N/A</v>
      </c>
      <c r="N202" s="13" t="str">
        <f t="shared" ca="1" si="62"/>
        <v>No_Action</v>
      </c>
      <c r="O202" s="13" t="str">
        <f t="shared" ca="1" si="63"/>
        <v>No_Action</v>
      </c>
      <c r="P202" s="13" t="str">
        <f t="shared" ca="1" si="64"/>
        <v>No_Action</v>
      </c>
      <c r="Q202" s="13" t="str">
        <f t="shared" ca="1" si="65"/>
        <v>No_Action</v>
      </c>
      <c r="R202" s="15"/>
      <c r="S202" s="15" t="str">
        <f t="shared" ca="1" si="66"/>
        <v>NoNo</v>
      </c>
      <c r="T202" s="15"/>
      <c r="U202" s="15">
        <f t="shared" ca="1" si="67"/>
        <v>0</v>
      </c>
      <c r="V202" s="15">
        <f t="shared" ca="1" si="68"/>
        <v>0</v>
      </c>
      <c r="W202" s="15" t="str">
        <f t="shared" ca="1" si="69"/>
        <v>No_Action</v>
      </c>
      <c r="X202" s="15"/>
      <c r="Y202" s="15" t="str">
        <f t="shared" ca="1" si="70"/>
        <v>No_Action</v>
      </c>
      <c r="Z202" s="15">
        <f t="shared" ca="1" si="71"/>
        <v>0</v>
      </c>
      <c r="AA202" s="15">
        <f t="shared" ca="1" si="72"/>
        <v>0</v>
      </c>
      <c r="AB202" s="15"/>
      <c r="AC202" s="15" t="str">
        <f t="shared" ca="1" si="73"/>
        <v>NoNo</v>
      </c>
      <c r="AD202" s="15"/>
      <c r="AE202" s="15">
        <f t="shared" ca="1" si="74"/>
        <v>0</v>
      </c>
      <c r="AF202" s="16">
        <f t="shared" ca="1" si="75"/>
        <v>0</v>
      </c>
      <c r="AG202" s="16" t="str">
        <f t="shared" ca="1" si="76"/>
        <v>No_Action</v>
      </c>
      <c r="AH202" s="15"/>
      <c r="AI202" s="15" t="str">
        <f t="shared" ca="1" si="77"/>
        <v>No_Action</v>
      </c>
      <c r="AJ202" s="15">
        <f t="shared" ca="1" si="78"/>
        <v>0</v>
      </c>
      <c r="AK202" s="15">
        <f t="shared" ca="1" si="79"/>
        <v>0</v>
      </c>
    </row>
    <row r="203" spans="1:37" ht="14.5" customHeight="1" x14ac:dyDescent="0.35">
      <c r="A203" s="12" t="s">
        <v>219</v>
      </c>
      <c r="B203" s="13">
        <f ca="1">IFERROR(__xludf.DUMMYFUNCTION("GOOGLEFINANCE(""NSE:""&amp;A203,""PRICE"")"),3048)</f>
        <v>3048</v>
      </c>
      <c r="C203" s="13">
        <f ca="1">IFERROR(__xludf.DUMMYFUNCTION("GOOGLEFINANCE(""NSE:""&amp;A203,""PRICEOPEN"")"),3063.4)</f>
        <v>3063.4</v>
      </c>
      <c r="D203" s="13">
        <f ca="1">IFERROR(__xludf.DUMMYFUNCTION("GOOGLEFINANCE(""NSE:""&amp;A203,""HIGH"")"),3073)</f>
        <v>3073</v>
      </c>
      <c r="E203" s="13">
        <f ca="1">IFERROR(__xludf.DUMMYFUNCTION("GOOGLEFINANCE(""NSE:""&amp;A203,""LOW"")"),3040)</f>
        <v>3040</v>
      </c>
      <c r="F203" s="13">
        <f ca="1">IFERROR(__xludf.DUMMYFUNCTION("GOOGLEFINANCE(""NSE:""&amp;A203,""closeyest"")"),3073)</f>
        <v>3073</v>
      </c>
      <c r="G203" s="14">
        <f t="shared" ca="1" si="60"/>
        <v>-5.0524934383202394E-3</v>
      </c>
      <c r="H203" s="13">
        <f ca="1">IFERROR(__xludf.DUMMYFUNCTION("GOOGLEFINANCE(""NSE:""&amp;A203,""VOLUME"")"),1879542)</f>
        <v>1879542</v>
      </c>
      <c r="I203" s="13" t="str">
        <f ca="1">IFERROR(__xludf.DUMMYFUNCTION("AVERAGE(index(GOOGLEFINANCE(""NSE:""&amp;$A203, ""volume"", today()-21, today()-1), , 2))"),"#N/A")</f>
        <v>#N/A</v>
      </c>
      <c r="J203" s="14" t="e">
        <f t="shared" ca="1" si="61"/>
        <v>#VALUE!</v>
      </c>
      <c r="K203" s="13" t="str">
        <f ca="1">IFERROR(__xludf.DUMMYFUNCTION("AVERAGE(index(GOOGLEFINANCE(""NSE:""&amp;$A203, ""close"", today()-6, today()-1), , 2))"),"#N/A")</f>
        <v>#N/A</v>
      </c>
      <c r="L203" s="13" t="str">
        <f ca="1">IFERROR(__xludf.DUMMYFUNCTION("AVERAGE(index(GOOGLEFINANCE(""NSE:""&amp;$A203, ""close"", today()-14, today()-1), , 2))"),"#N/A")</f>
        <v>#N/A</v>
      </c>
      <c r="M203" s="13" t="str">
        <f ca="1">IFERROR(__xludf.DUMMYFUNCTION("AVERAGE(index(GOOGLEFINANCE(""NSE:""&amp;$A203, ""close"", today()-22, today()-1), , 2))"),"#N/A")</f>
        <v>#N/A</v>
      </c>
      <c r="N203" s="13" t="str">
        <f t="shared" ca="1" si="62"/>
        <v>No_Action</v>
      </c>
      <c r="O203" s="13" t="str">
        <f t="shared" ca="1" si="63"/>
        <v>No_Action</v>
      </c>
      <c r="P203" s="13" t="str">
        <f t="shared" ca="1" si="64"/>
        <v>No_Action</v>
      </c>
      <c r="Q203" s="13" t="str">
        <f t="shared" ca="1" si="65"/>
        <v>No_Action</v>
      </c>
      <c r="R203" s="15"/>
      <c r="S203" s="15" t="str">
        <f t="shared" ca="1" si="66"/>
        <v>NoNo</v>
      </c>
      <c r="T203" s="15"/>
      <c r="U203" s="15">
        <f t="shared" ca="1" si="67"/>
        <v>0</v>
      </c>
      <c r="V203" s="15">
        <f t="shared" ca="1" si="68"/>
        <v>0</v>
      </c>
      <c r="W203" s="15" t="str">
        <f t="shared" ca="1" si="69"/>
        <v>No_Action</v>
      </c>
      <c r="X203" s="15"/>
      <c r="Y203" s="15" t="str">
        <f t="shared" ca="1" si="70"/>
        <v>No_Action</v>
      </c>
      <c r="Z203" s="15">
        <f t="shared" ca="1" si="71"/>
        <v>0</v>
      </c>
      <c r="AA203" s="15">
        <f t="shared" ca="1" si="72"/>
        <v>0</v>
      </c>
      <c r="AB203" s="15"/>
      <c r="AC203" s="15" t="str">
        <f t="shared" ca="1" si="73"/>
        <v>NoNo</v>
      </c>
      <c r="AD203" s="15"/>
      <c r="AE203" s="15">
        <f t="shared" ca="1" si="74"/>
        <v>0</v>
      </c>
      <c r="AF203" s="16">
        <f t="shared" ca="1" si="75"/>
        <v>0</v>
      </c>
      <c r="AG203" s="16" t="str">
        <f t="shared" ca="1" si="76"/>
        <v>No_Action</v>
      </c>
      <c r="AH203" s="15"/>
      <c r="AI203" s="15" t="str">
        <f t="shared" ca="1" si="77"/>
        <v>No_Action</v>
      </c>
      <c r="AJ203" s="15">
        <f t="shared" ca="1" si="78"/>
        <v>0</v>
      </c>
      <c r="AK203" s="15">
        <f t="shared" ca="1" si="79"/>
        <v>0</v>
      </c>
    </row>
    <row r="204" spans="1:37" ht="14.5" customHeight="1" x14ac:dyDescent="0.35">
      <c r="A204" s="12" t="s">
        <v>220</v>
      </c>
      <c r="B204" s="13">
        <f ca="1">IFERROR(__xludf.DUMMYFUNCTION("GOOGLEFINANCE(""NSE:""&amp;A204,""PRICE"")"),532)</f>
        <v>532</v>
      </c>
      <c r="C204" s="13">
        <f ca="1">IFERROR(__xludf.DUMMYFUNCTION("GOOGLEFINANCE(""NSE:""&amp;A204,""PRICEOPEN"")"),540)</f>
        <v>540</v>
      </c>
      <c r="D204" s="13">
        <f ca="1">IFERROR(__xludf.DUMMYFUNCTION("GOOGLEFINANCE(""NSE:""&amp;A204,""HIGH"")"),544.75)</f>
        <v>544.75</v>
      </c>
      <c r="E204" s="13">
        <f ca="1">IFERROR(__xludf.DUMMYFUNCTION("GOOGLEFINANCE(""NSE:""&amp;A204,""LOW"")"),531.25)</f>
        <v>531.25</v>
      </c>
      <c r="F204" s="13">
        <f ca="1">IFERROR(__xludf.DUMMYFUNCTION("GOOGLEFINANCE(""NSE:""&amp;A204,""closeyest"")"),542.35)</f>
        <v>542.35</v>
      </c>
      <c r="G204" s="14">
        <f t="shared" ca="1" si="60"/>
        <v>-1.5037593984962405E-2</v>
      </c>
      <c r="H204" s="13">
        <f ca="1">IFERROR(__xludf.DUMMYFUNCTION("GOOGLEFINANCE(""NSE:""&amp;A204,""VOLUME"")"),31872)</f>
        <v>31872</v>
      </c>
      <c r="I204" s="13" t="str">
        <f ca="1">IFERROR(__xludf.DUMMYFUNCTION("AVERAGE(index(GOOGLEFINANCE(""NSE:""&amp;$A204, ""volume"", today()-21, today()-1), , 2))"),"#N/A")</f>
        <v>#N/A</v>
      </c>
      <c r="J204" s="14" t="e">
        <f t="shared" ca="1" si="61"/>
        <v>#VALUE!</v>
      </c>
      <c r="K204" s="13" t="str">
        <f ca="1">IFERROR(__xludf.DUMMYFUNCTION("AVERAGE(index(GOOGLEFINANCE(""NSE:""&amp;$A204, ""close"", today()-6, today()-1), , 2))"),"#N/A")</f>
        <v>#N/A</v>
      </c>
      <c r="L204" s="13" t="str">
        <f ca="1">IFERROR(__xludf.DUMMYFUNCTION("AVERAGE(index(GOOGLEFINANCE(""NSE:""&amp;$A204, ""close"", today()-14, today()-1), , 2))"),"#N/A")</f>
        <v>#N/A</v>
      </c>
      <c r="M204" s="13" t="str">
        <f ca="1">IFERROR(__xludf.DUMMYFUNCTION("AVERAGE(index(GOOGLEFINANCE(""NSE:""&amp;$A204, ""close"", today()-22, today()-1), , 2))"),"#N/A")</f>
        <v>#N/A</v>
      </c>
      <c r="N204" s="13" t="str">
        <f t="shared" ca="1" si="62"/>
        <v>No_Action</v>
      </c>
      <c r="O204" s="13" t="str">
        <f t="shared" ca="1" si="63"/>
        <v>No_Action</v>
      </c>
      <c r="P204" s="13" t="str">
        <f t="shared" ca="1" si="64"/>
        <v>No_Action</v>
      </c>
      <c r="Q204" s="13" t="str">
        <f t="shared" ca="1" si="65"/>
        <v>No_Action</v>
      </c>
      <c r="R204" s="15"/>
      <c r="S204" s="15" t="str">
        <f t="shared" ca="1" si="66"/>
        <v>NoNo</v>
      </c>
      <c r="T204" s="15"/>
      <c r="U204" s="15">
        <f t="shared" ca="1" si="67"/>
        <v>0</v>
      </c>
      <c r="V204" s="15">
        <f t="shared" ca="1" si="68"/>
        <v>0</v>
      </c>
      <c r="W204" s="15" t="str">
        <f t="shared" ca="1" si="69"/>
        <v>No_Action</v>
      </c>
      <c r="X204" s="15"/>
      <c r="Y204" s="15" t="str">
        <f t="shared" ca="1" si="70"/>
        <v>No_Action</v>
      </c>
      <c r="Z204" s="15">
        <f t="shared" ca="1" si="71"/>
        <v>0</v>
      </c>
      <c r="AA204" s="15">
        <f t="shared" ca="1" si="72"/>
        <v>0</v>
      </c>
      <c r="AB204" s="15"/>
      <c r="AC204" s="15" t="str">
        <f t="shared" ca="1" si="73"/>
        <v>NoNo</v>
      </c>
      <c r="AD204" s="15"/>
      <c r="AE204" s="15">
        <f t="shared" ca="1" si="74"/>
        <v>0</v>
      </c>
      <c r="AF204" s="16">
        <f t="shared" ca="1" si="75"/>
        <v>0</v>
      </c>
      <c r="AG204" s="16" t="str">
        <f t="shared" ca="1" si="76"/>
        <v>No_Action</v>
      </c>
      <c r="AH204" s="15"/>
      <c r="AI204" s="15" t="str">
        <f t="shared" ca="1" si="77"/>
        <v>No_Action</v>
      </c>
      <c r="AJ204" s="15">
        <f t="shared" ca="1" si="78"/>
        <v>0</v>
      </c>
      <c r="AK204" s="15">
        <f t="shared" ca="1" si="79"/>
        <v>0</v>
      </c>
    </row>
    <row r="205" spans="1:37" ht="14.5" customHeight="1" x14ac:dyDescent="0.35">
      <c r="A205" s="12" t="s">
        <v>221</v>
      </c>
      <c r="B205" s="13">
        <f ca="1">IFERROR(__xludf.DUMMYFUNCTION("GOOGLEFINANCE(""NSE:""&amp;A205,""PRICE"")"),758)</f>
        <v>758</v>
      </c>
      <c r="C205" s="13">
        <f ca="1">IFERROR(__xludf.DUMMYFUNCTION("GOOGLEFINANCE(""NSE:""&amp;A205,""PRICEOPEN"")"),762)</f>
        <v>762</v>
      </c>
      <c r="D205" s="13">
        <f ca="1">IFERROR(__xludf.DUMMYFUNCTION("GOOGLEFINANCE(""NSE:""&amp;A205,""HIGH"")"),765.45)</f>
        <v>765.45</v>
      </c>
      <c r="E205" s="13">
        <f ca="1">IFERROR(__xludf.DUMMYFUNCTION("GOOGLEFINANCE(""NSE:""&amp;A205,""LOW"")"),745.3)</f>
        <v>745.3</v>
      </c>
      <c r="F205" s="13">
        <f ca="1">IFERROR(__xludf.DUMMYFUNCTION("GOOGLEFINANCE(""NSE:""&amp;A205,""closeyest"")"),768.1)</f>
        <v>768.1</v>
      </c>
      <c r="G205" s="14">
        <f t="shared" ca="1" si="60"/>
        <v>-5.2770448548812663E-3</v>
      </c>
      <c r="H205" s="13">
        <f ca="1">IFERROR(__xludf.DUMMYFUNCTION("GOOGLEFINANCE(""NSE:""&amp;A205,""VOLUME"")"),864130)</f>
        <v>864130</v>
      </c>
      <c r="I205" s="13" t="str">
        <f ca="1">IFERROR(__xludf.DUMMYFUNCTION("AVERAGE(index(GOOGLEFINANCE(""NSE:""&amp;$A205, ""volume"", today()-21, today()-1), , 2))"),"#N/A")</f>
        <v>#N/A</v>
      </c>
      <c r="J205" s="14" t="e">
        <f t="shared" ca="1" si="61"/>
        <v>#VALUE!</v>
      </c>
      <c r="K205" s="13" t="str">
        <f ca="1">IFERROR(__xludf.DUMMYFUNCTION("AVERAGE(index(GOOGLEFINANCE(""NSE:""&amp;$A205, ""close"", today()-6, today()-1), , 2))"),"#N/A")</f>
        <v>#N/A</v>
      </c>
      <c r="L205" s="13" t="str">
        <f ca="1">IFERROR(__xludf.DUMMYFUNCTION("AVERAGE(index(GOOGLEFINANCE(""NSE:""&amp;$A205, ""close"", today()-14, today()-1), , 2))"),"#N/A")</f>
        <v>#N/A</v>
      </c>
      <c r="M205" s="13" t="str">
        <f ca="1">IFERROR(__xludf.DUMMYFUNCTION("AVERAGE(index(GOOGLEFINANCE(""NSE:""&amp;$A205, ""close"", today()-22, today()-1), , 2))"),"#N/A")</f>
        <v>#N/A</v>
      </c>
      <c r="N205" s="13" t="str">
        <f t="shared" ca="1" si="62"/>
        <v>No_Action</v>
      </c>
      <c r="O205" s="13" t="str">
        <f t="shared" ca="1" si="63"/>
        <v>No_Action</v>
      </c>
      <c r="P205" s="13" t="str">
        <f t="shared" ca="1" si="64"/>
        <v>No_Action</v>
      </c>
      <c r="Q205" s="13" t="str">
        <f t="shared" ca="1" si="65"/>
        <v>No_Action</v>
      </c>
      <c r="R205" s="15"/>
      <c r="S205" s="15" t="str">
        <f t="shared" ca="1" si="66"/>
        <v>NoNo</v>
      </c>
      <c r="T205" s="15"/>
      <c r="U205" s="15">
        <f t="shared" ca="1" si="67"/>
        <v>0</v>
      </c>
      <c r="V205" s="15">
        <f t="shared" ca="1" si="68"/>
        <v>0</v>
      </c>
      <c r="W205" s="15" t="str">
        <f t="shared" ca="1" si="69"/>
        <v>No_Action</v>
      </c>
      <c r="X205" s="15"/>
      <c r="Y205" s="15" t="str">
        <f t="shared" ca="1" si="70"/>
        <v>No_Action</v>
      </c>
      <c r="Z205" s="15">
        <f t="shared" ca="1" si="71"/>
        <v>0</v>
      </c>
      <c r="AA205" s="15">
        <f t="shared" ca="1" si="72"/>
        <v>0</v>
      </c>
      <c r="AB205" s="15"/>
      <c r="AC205" s="15" t="str">
        <f t="shared" ca="1" si="73"/>
        <v>NoNo</v>
      </c>
      <c r="AD205" s="15"/>
      <c r="AE205" s="15">
        <f t="shared" ca="1" si="74"/>
        <v>0</v>
      </c>
      <c r="AF205" s="16">
        <f t="shared" ca="1" si="75"/>
        <v>0</v>
      </c>
      <c r="AG205" s="16" t="str">
        <f t="shared" ca="1" si="76"/>
        <v>No_Action</v>
      </c>
      <c r="AH205" s="15"/>
      <c r="AI205" s="15" t="str">
        <f t="shared" ca="1" si="77"/>
        <v>No_Action</v>
      </c>
      <c r="AJ205" s="15">
        <f t="shared" ca="1" si="78"/>
        <v>0</v>
      </c>
      <c r="AK205" s="15">
        <f t="shared" ca="1" si="79"/>
        <v>0</v>
      </c>
    </row>
    <row r="206" spans="1:37" ht="14.5" customHeight="1" x14ac:dyDescent="0.35">
      <c r="A206" s="12" t="s">
        <v>222</v>
      </c>
      <c r="B206" s="13">
        <f ca="1">IFERROR(__xludf.DUMMYFUNCTION("GOOGLEFINANCE(""NSE:""&amp;A206,""PRICE"")"),1205)</f>
        <v>1205</v>
      </c>
      <c r="C206" s="13">
        <f ca="1">IFERROR(__xludf.DUMMYFUNCTION("GOOGLEFINANCE(""NSE:""&amp;A206,""PRICEOPEN"")"),1197)</f>
        <v>1197</v>
      </c>
      <c r="D206" s="13">
        <f ca="1">IFERROR(__xludf.DUMMYFUNCTION("GOOGLEFINANCE(""NSE:""&amp;A206,""HIGH"")"),1220.8)</f>
        <v>1220.8</v>
      </c>
      <c r="E206" s="13">
        <f ca="1">IFERROR(__xludf.DUMMYFUNCTION("GOOGLEFINANCE(""NSE:""&amp;A206,""LOW"")"),1190)</f>
        <v>1190</v>
      </c>
      <c r="F206" s="13">
        <f ca="1">IFERROR(__xludf.DUMMYFUNCTION("GOOGLEFINANCE(""NSE:""&amp;A206,""closeyest"")"),1187)</f>
        <v>1187</v>
      </c>
      <c r="G206" s="14">
        <f t="shared" ca="1" si="60"/>
        <v>6.6390041493775932E-3</v>
      </c>
      <c r="H206" s="13">
        <f ca="1">IFERROR(__xludf.DUMMYFUNCTION("GOOGLEFINANCE(""NSE:""&amp;A206,""VOLUME"")"),80910)</f>
        <v>80910</v>
      </c>
      <c r="I206" s="13" t="str">
        <f ca="1">IFERROR(__xludf.DUMMYFUNCTION("AVERAGE(index(GOOGLEFINANCE(""NSE:""&amp;$A206, ""volume"", today()-21, today()-1), , 2))"),"#N/A")</f>
        <v>#N/A</v>
      </c>
      <c r="J206" s="14" t="e">
        <f t="shared" ca="1" si="61"/>
        <v>#VALUE!</v>
      </c>
      <c r="K206" s="13" t="str">
        <f ca="1">IFERROR(__xludf.DUMMYFUNCTION("AVERAGE(index(GOOGLEFINANCE(""NSE:""&amp;$A206, ""close"", today()-6, today()-1), , 2))"),"#N/A")</f>
        <v>#N/A</v>
      </c>
      <c r="L206" s="13" t="str">
        <f ca="1">IFERROR(__xludf.DUMMYFUNCTION("AVERAGE(index(GOOGLEFINANCE(""NSE:""&amp;$A206, ""close"", today()-14, today()-1), , 2))"),"#N/A")</f>
        <v>#N/A</v>
      </c>
      <c r="M206" s="13" t="str">
        <f ca="1">IFERROR(__xludf.DUMMYFUNCTION("AVERAGE(index(GOOGLEFINANCE(""NSE:""&amp;$A206, ""close"", today()-22, today()-1), , 2))"),"#N/A")</f>
        <v>#N/A</v>
      </c>
      <c r="N206" s="13" t="str">
        <f t="shared" ca="1" si="62"/>
        <v>No_Action</v>
      </c>
      <c r="O206" s="13" t="str">
        <f t="shared" ca="1" si="63"/>
        <v>No_Action</v>
      </c>
      <c r="P206" s="13" t="str">
        <f t="shared" ca="1" si="64"/>
        <v>No_Action</v>
      </c>
      <c r="Q206" s="13" t="str">
        <f t="shared" ca="1" si="65"/>
        <v>No_Action</v>
      </c>
      <c r="R206" s="15"/>
      <c r="S206" s="15" t="str">
        <f t="shared" ca="1" si="66"/>
        <v>NoNo</v>
      </c>
      <c r="T206" s="15"/>
      <c r="U206" s="15">
        <f t="shared" ca="1" si="67"/>
        <v>0</v>
      </c>
      <c r="V206" s="15">
        <f t="shared" ca="1" si="68"/>
        <v>0</v>
      </c>
      <c r="W206" s="15" t="str">
        <f t="shared" ca="1" si="69"/>
        <v>No_Action</v>
      </c>
      <c r="X206" s="15"/>
      <c r="Y206" s="15" t="str">
        <f t="shared" ca="1" si="70"/>
        <v>No_Action</v>
      </c>
      <c r="Z206" s="15">
        <f t="shared" ca="1" si="71"/>
        <v>0</v>
      </c>
      <c r="AA206" s="15">
        <f t="shared" ca="1" si="72"/>
        <v>0</v>
      </c>
      <c r="AB206" s="15"/>
      <c r="AC206" s="15" t="str">
        <f t="shared" ca="1" si="73"/>
        <v>NoNo</v>
      </c>
      <c r="AD206" s="15"/>
      <c r="AE206" s="15">
        <f t="shared" ca="1" si="74"/>
        <v>0</v>
      </c>
      <c r="AF206" s="16">
        <f t="shared" ca="1" si="75"/>
        <v>0</v>
      </c>
      <c r="AG206" s="16" t="str">
        <f t="shared" ca="1" si="76"/>
        <v>No_Action</v>
      </c>
      <c r="AH206" s="15"/>
      <c r="AI206" s="15" t="str">
        <f t="shared" ca="1" si="77"/>
        <v>No_Action</v>
      </c>
      <c r="AJ206" s="15">
        <f t="shared" ca="1" si="78"/>
        <v>0</v>
      </c>
      <c r="AK206" s="15">
        <f t="shared" ca="1" si="79"/>
        <v>0</v>
      </c>
    </row>
    <row r="207" spans="1:37" ht="14.5" customHeight="1" x14ac:dyDescent="0.35">
      <c r="A207" s="12" t="s">
        <v>223</v>
      </c>
      <c r="B207" s="13">
        <f ca="1">IFERROR(__xludf.DUMMYFUNCTION("GOOGLEFINANCE(""NSE:""&amp;A207,""PRICE"")"),241.9)</f>
        <v>241.9</v>
      </c>
      <c r="C207" s="13">
        <f ca="1">IFERROR(__xludf.DUMMYFUNCTION("GOOGLEFINANCE(""NSE:""&amp;A207,""PRICEOPEN"")"),245.76)</f>
        <v>245.76</v>
      </c>
      <c r="D207" s="13">
        <f ca="1">IFERROR(__xludf.DUMMYFUNCTION("GOOGLEFINANCE(""NSE:""&amp;A207,""HIGH"")"),249.4)</f>
        <v>249.4</v>
      </c>
      <c r="E207" s="13">
        <f ca="1">IFERROR(__xludf.DUMMYFUNCTION("GOOGLEFINANCE(""NSE:""&amp;A207,""LOW"")"),239.21)</f>
        <v>239.21</v>
      </c>
      <c r="F207" s="13">
        <f ca="1">IFERROR(__xludf.DUMMYFUNCTION("GOOGLEFINANCE(""NSE:""&amp;A207,""closeyest"")"),243.51)</f>
        <v>243.51</v>
      </c>
      <c r="G207" s="14">
        <f t="shared" ca="1" si="60"/>
        <v>-1.5957007027697333E-2</v>
      </c>
      <c r="H207" s="13">
        <f ca="1">IFERROR(__xludf.DUMMYFUNCTION("GOOGLEFINANCE(""NSE:""&amp;A207,""VOLUME"")"),1654142)</f>
        <v>1654142</v>
      </c>
      <c r="I207" s="13" t="str">
        <f ca="1">IFERROR(__xludf.DUMMYFUNCTION("AVERAGE(index(GOOGLEFINANCE(""NSE:""&amp;$A207, ""volume"", today()-21, today()-1), , 2))"),"#N/A")</f>
        <v>#N/A</v>
      </c>
      <c r="J207" s="14" t="e">
        <f t="shared" ca="1" si="61"/>
        <v>#VALUE!</v>
      </c>
      <c r="K207" s="13" t="str">
        <f ca="1">IFERROR(__xludf.DUMMYFUNCTION("AVERAGE(index(GOOGLEFINANCE(""NSE:""&amp;$A207, ""close"", today()-6, today()-1), , 2))"),"#N/A")</f>
        <v>#N/A</v>
      </c>
      <c r="L207" s="13" t="str">
        <f ca="1">IFERROR(__xludf.DUMMYFUNCTION("AVERAGE(index(GOOGLEFINANCE(""NSE:""&amp;$A207, ""close"", today()-14, today()-1), , 2))"),"#N/A")</f>
        <v>#N/A</v>
      </c>
      <c r="M207" s="13" t="str">
        <f ca="1">IFERROR(__xludf.DUMMYFUNCTION("AVERAGE(index(GOOGLEFINANCE(""NSE:""&amp;$A207, ""close"", today()-22, today()-1), , 2))"),"#N/A")</f>
        <v>#N/A</v>
      </c>
      <c r="N207" s="13" t="str">
        <f t="shared" ca="1" si="62"/>
        <v>No_Action</v>
      </c>
      <c r="O207" s="13" t="str">
        <f t="shared" ca="1" si="63"/>
        <v>No_Action</v>
      </c>
      <c r="P207" s="13" t="str">
        <f t="shared" ca="1" si="64"/>
        <v>No_Action</v>
      </c>
      <c r="Q207" s="13" t="str">
        <f t="shared" ca="1" si="65"/>
        <v>No_Action</v>
      </c>
      <c r="R207" s="15"/>
      <c r="S207" s="15" t="str">
        <f t="shared" ca="1" si="66"/>
        <v>NoNo</v>
      </c>
      <c r="T207" s="15"/>
      <c r="U207" s="15">
        <f t="shared" ca="1" si="67"/>
        <v>0</v>
      </c>
      <c r="V207" s="15">
        <f t="shared" ca="1" si="68"/>
        <v>0</v>
      </c>
      <c r="W207" s="15" t="str">
        <f t="shared" ca="1" si="69"/>
        <v>No_Action</v>
      </c>
      <c r="X207" s="15"/>
      <c r="Y207" s="15" t="str">
        <f t="shared" ca="1" si="70"/>
        <v>No_Action</v>
      </c>
      <c r="Z207" s="15">
        <f t="shared" ca="1" si="71"/>
        <v>0</v>
      </c>
      <c r="AA207" s="15">
        <f t="shared" ca="1" si="72"/>
        <v>0</v>
      </c>
      <c r="AB207" s="15"/>
      <c r="AC207" s="15" t="str">
        <f t="shared" ca="1" si="73"/>
        <v>NoNo</v>
      </c>
      <c r="AD207" s="15"/>
      <c r="AE207" s="15">
        <f t="shared" ca="1" si="74"/>
        <v>0</v>
      </c>
      <c r="AF207" s="16">
        <f t="shared" ca="1" si="75"/>
        <v>0</v>
      </c>
      <c r="AG207" s="16" t="str">
        <f t="shared" ca="1" si="76"/>
        <v>No_Action</v>
      </c>
      <c r="AH207" s="15"/>
      <c r="AI207" s="15" t="str">
        <f t="shared" ca="1" si="77"/>
        <v>No_Action</v>
      </c>
      <c r="AJ207" s="15">
        <f t="shared" ca="1" si="78"/>
        <v>0</v>
      </c>
      <c r="AK207" s="15">
        <f t="shared" ca="1" si="79"/>
        <v>0</v>
      </c>
    </row>
    <row r="208" spans="1:37" ht="14.5" customHeight="1" x14ac:dyDescent="0.35">
      <c r="A208" s="12" t="s">
        <v>224</v>
      </c>
      <c r="B208" s="13">
        <f ca="1">IFERROR(__xludf.DUMMYFUNCTION("GOOGLEFINANCE(""NSE:""&amp;A208,""PRICE"")"),172)</f>
        <v>172</v>
      </c>
      <c r="C208" s="13">
        <f ca="1">IFERROR(__xludf.DUMMYFUNCTION("GOOGLEFINANCE(""NSE:""&amp;A208,""PRICEOPEN"")"),167.84)</f>
        <v>167.84</v>
      </c>
      <c r="D208" s="13">
        <f ca="1">IFERROR(__xludf.DUMMYFUNCTION("GOOGLEFINANCE(""NSE:""&amp;A208,""HIGH"")"),172.82)</f>
        <v>172.82</v>
      </c>
      <c r="E208" s="13">
        <f ca="1">IFERROR(__xludf.DUMMYFUNCTION("GOOGLEFINANCE(""NSE:""&amp;A208,""LOW"")"),167.06)</f>
        <v>167.06</v>
      </c>
      <c r="F208" s="13">
        <f ca="1">IFERROR(__xludf.DUMMYFUNCTION("GOOGLEFINANCE(""NSE:""&amp;A208,""closeyest"")"),167.85)</f>
        <v>167.85</v>
      </c>
      <c r="G208" s="14">
        <f t="shared" ca="1" si="60"/>
        <v>2.4186046511627889E-2</v>
      </c>
      <c r="H208" s="13">
        <f ca="1">IFERROR(__xludf.DUMMYFUNCTION("GOOGLEFINANCE(""NSE:""&amp;A208,""VOLUME"")"),8864865)</f>
        <v>8864865</v>
      </c>
      <c r="I208" s="13" t="str">
        <f ca="1">IFERROR(__xludf.DUMMYFUNCTION("AVERAGE(index(GOOGLEFINANCE(""NSE:""&amp;$A208, ""volume"", today()-21, today()-1), , 2))"),"#N/A")</f>
        <v>#N/A</v>
      </c>
      <c r="J208" s="14" t="e">
        <f t="shared" ca="1" si="61"/>
        <v>#VALUE!</v>
      </c>
      <c r="K208" s="13" t="str">
        <f ca="1">IFERROR(__xludf.DUMMYFUNCTION("AVERAGE(index(GOOGLEFINANCE(""NSE:""&amp;$A208, ""close"", today()-6, today()-1), , 2))"),"#N/A")</f>
        <v>#N/A</v>
      </c>
      <c r="L208" s="13" t="str">
        <f ca="1">IFERROR(__xludf.DUMMYFUNCTION("AVERAGE(index(GOOGLEFINANCE(""NSE:""&amp;$A208, ""close"", today()-14, today()-1), , 2))"),"#N/A")</f>
        <v>#N/A</v>
      </c>
      <c r="M208" s="13" t="str">
        <f ca="1">IFERROR(__xludf.DUMMYFUNCTION("AVERAGE(index(GOOGLEFINANCE(""NSE:""&amp;$A208, ""close"", today()-22, today()-1), , 2))"),"#N/A")</f>
        <v>#N/A</v>
      </c>
      <c r="N208" s="13" t="str">
        <f t="shared" ca="1" si="62"/>
        <v>No_Action</v>
      </c>
      <c r="O208" s="13" t="str">
        <f t="shared" ca="1" si="63"/>
        <v>No_Action</v>
      </c>
      <c r="P208" s="13" t="str">
        <f t="shared" ca="1" si="64"/>
        <v>No_Action</v>
      </c>
      <c r="Q208" s="13" t="str">
        <f t="shared" ca="1" si="65"/>
        <v>No_Action</v>
      </c>
      <c r="R208" s="15"/>
      <c r="S208" s="15" t="str">
        <f t="shared" ca="1" si="66"/>
        <v>NoNo</v>
      </c>
      <c r="T208" s="15"/>
      <c r="U208" s="15">
        <f t="shared" ca="1" si="67"/>
        <v>0</v>
      </c>
      <c r="V208" s="15">
        <f t="shared" ca="1" si="68"/>
        <v>0</v>
      </c>
      <c r="W208" s="15" t="str">
        <f t="shared" ca="1" si="69"/>
        <v>No_Action</v>
      </c>
      <c r="X208" s="15"/>
      <c r="Y208" s="15" t="str">
        <f t="shared" ca="1" si="70"/>
        <v>No_Action</v>
      </c>
      <c r="Z208" s="15">
        <f t="shared" ca="1" si="71"/>
        <v>0</v>
      </c>
      <c r="AA208" s="15">
        <f t="shared" ca="1" si="72"/>
        <v>0</v>
      </c>
      <c r="AB208" s="15"/>
      <c r="AC208" s="15" t="str">
        <f t="shared" ca="1" si="73"/>
        <v>NoNo</v>
      </c>
      <c r="AD208" s="15"/>
      <c r="AE208" s="15">
        <f t="shared" ca="1" si="74"/>
        <v>0</v>
      </c>
      <c r="AF208" s="16">
        <f t="shared" ca="1" si="75"/>
        <v>0</v>
      </c>
      <c r="AG208" s="16" t="str">
        <f t="shared" ca="1" si="76"/>
        <v>No_Action</v>
      </c>
      <c r="AH208" s="15"/>
      <c r="AI208" s="15" t="str">
        <f t="shared" ca="1" si="77"/>
        <v>No_Action</v>
      </c>
      <c r="AJ208" s="15">
        <f t="shared" ca="1" si="78"/>
        <v>0</v>
      </c>
      <c r="AK208" s="15">
        <f t="shared" ca="1" si="79"/>
        <v>0</v>
      </c>
    </row>
    <row r="209" spans="1:37" ht="14.5" customHeight="1" x14ac:dyDescent="0.35">
      <c r="A209" s="12" t="s">
        <v>225</v>
      </c>
      <c r="B209" s="13">
        <f ca="1">IFERROR(__xludf.DUMMYFUNCTION("GOOGLEFINANCE(""NSE:""&amp;A209,""PRICE"")"),630)</f>
        <v>630</v>
      </c>
      <c r="C209" s="13">
        <f ca="1">IFERROR(__xludf.DUMMYFUNCTION("GOOGLEFINANCE(""NSE:""&amp;A209,""PRICEOPEN"")"),638.45)</f>
        <v>638.45000000000005</v>
      </c>
      <c r="D209" s="13">
        <f ca="1">IFERROR(__xludf.DUMMYFUNCTION("GOOGLEFINANCE(""NSE:""&amp;A209,""HIGH"")"),638.65)</f>
        <v>638.65</v>
      </c>
      <c r="E209" s="13">
        <f ca="1">IFERROR(__xludf.DUMMYFUNCTION("GOOGLEFINANCE(""NSE:""&amp;A209,""LOW"")"),617)</f>
        <v>617</v>
      </c>
      <c r="F209" s="13">
        <f ca="1">IFERROR(__xludf.DUMMYFUNCTION("GOOGLEFINANCE(""NSE:""&amp;A209,""closeyest"")"),636.05)</f>
        <v>636.04999999999995</v>
      </c>
      <c r="G209" s="14">
        <f t="shared" ca="1" si="60"/>
        <v>-1.3412698412698485E-2</v>
      </c>
      <c r="H209" s="13">
        <f ca="1">IFERROR(__xludf.DUMMYFUNCTION("GOOGLEFINANCE(""NSE:""&amp;A209,""VOLUME"")"),51379)</f>
        <v>51379</v>
      </c>
      <c r="I209" s="13" t="str">
        <f ca="1">IFERROR(__xludf.DUMMYFUNCTION("AVERAGE(index(GOOGLEFINANCE(""NSE:""&amp;$A209, ""volume"", today()-21, today()-1), , 2))"),"#N/A")</f>
        <v>#N/A</v>
      </c>
      <c r="J209" s="14" t="e">
        <f t="shared" ca="1" si="61"/>
        <v>#VALUE!</v>
      </c>
      <c r="K209" s="13" t="str">
        <f ca="1">IFERROR(__xludf.DUMMYFUNCTION("AVERAGE(index(GOOGLEFINANCE(""NSE:""&amp;$A209, ""close"", today()-6, today()-1), , 2))"),"#N/A")</f>
        <v>#N/A</v>
      </c>
      <c r="L209" s="13" t="str">
        <f ca="1">IFERROR(__xludf.DUMMYFUNCTION("AVERAGE(index(GOOGLEFINANCE(""NSE:""&amp;$A209, ""close"", today()-14, today()-1), , 2))"),"#N/A")</f>
        <v>#N/A</v>
      </c>
      <c r="M209" s="13" t="str">
        <f ca="1">IFERROR(__xludf.DUMMYFUNCTION("AVERAGE(index(GOOGLEFINANCE(""NSE:""&amp;$A209, ""close"", today()-22, today()-1), , 2))"),"#N/A")</f>
        <v>#N/A</v>
      </c>
      <c r="N209" s="13" t="str">
        <f t="shared" ca="1" si="62"/>
        <v>No_Action</v>
      </c>
      <c r="O209" s="13" t="str">
        <f t="shared" ca="1" si="63"/>
        <v>No_Action</v>
      </c>
      <c r="P209" s="13" t="str">
        <f t="shared" ca="1" si="64"/>
        <v>No_Action</v>
      </c>
      <c r="Q209" s="13" t="str">
        <f t="shared" ca="1" si="65"/>
        <v>No_Action</v>
      </c>
      <c r="R209" s="15"/>
      <c r="S209" s="15" t="str">
        <f t="shared" ca="1" si="66"/>
        <v>NoNo</v>
      </c>
      <c r="T209" s="15"/>
      <c r="U209" s="15">
        <f t="shared" ca="1" si="67"/>
        <v>0</v>
      </c>
      <c r="V209" s="15">
        <f t="shared" ca="1" si="68"/>
        <v>0</v>
      </c>
      <c r="W209" s="15" t="str">
        <f t="shared" ca="1" si="69"/>
        <v>No_Action</v>
      </c>
      <c r="X209" s="15"/>
      <c r="Y209" s="15" t="str">
        <f t="shared" ca="1" si="70"/>
        <v>No_Action</v>
      </c>
      <c r="Z209" s="15">
        <f t="shared" ca="1" si="71"/>
        <v>0</v>
      </c>
      <c r="AA209" s="15">
        <f t="shared" ca="1" si="72"/>
        <v>0</v>
      </c>
      <c r="AB209" s="15"/>
      <c r="AC209" s="15" t="str">
        <f t="shared" ca="1" si="73"/>
        <v>NoNo</v>
      </c>
      <c r="AD209" s="15"/>
      <c r="AE209" s="15">
        <f t="shared" ca="1" si="74"/>
        <v>0</v>
      </c>
      <c r="AF209" s="16">
        <f t="shared" ca="1" si="75"/>
        <v>0</v>
      </c>
      <c r="AG209" s="16" t="str">
        <f t="shared" ca="1" si="76"/>
        <v>No_Action</v>
      </c>
      <c r="AH209" s="15"/>
      <c r="AI209" s="15" t="str">
        <f t="shared" ca="1" si="77"/>
        <v>No_Action</v>
      </c>
      <c r="AJ209" s="15">
        <f t="shared" ca="1" si="78"/>
        <v>0</v>
      </c>
      <c r="AK209" s="15">
        <f t="shared" ca="1" si="79"/>
        <v>0</v>
      </c>
    </row>
    <row r="210" spans="1:37" ht="14.5" customHeight="1" x14ac:dyDescent="0.35">
      <c r="A210" s="12" t="s">
        <v>226</v>
      </c>
      <c r="B210" s="13">
        <f ca="1">IFERROR(__xludf.DUMMYFUNCTION("GOOGLEFINANCE(""NSE:""&amp;A210,""PRICE"")"),610.35)</f>
        <v>610.35</v>
      </c>
      <c r="C210" s="13">
        <f ca="1">IFERROR(__xludf.DUMMYFUNCTION("GOOGLEFINANCE(""NSE:""&amp;A210,""PRICEOPEN"")"),621.1)</f>
        <v>621.1</v>
      </c>
      <c r="D210" s="13">
        <f ca="1">IFERROR(__xludf.DUMMYFUNCTION("GOOGLEFINANCE(""NSE:""&amp;A210,""HIGH"")"),628.35)</f>
        <v>628.35</v>
      </c>
      <c r="E210" s="13">
        <f ca="1">IFERROR(__xludf.DUMMYFUNCTION("GOOGLEFINANCE(""NSE:""&amp;A210,""LOW"")"),600.55)</f>
        <v>600.54999999999995</v>
      </c>
      <c r="F210" s="13">
        <f ca="1">IFERROR(__xludf.DUMMYFUNCTION("GOOGLEFINANCE(""NSE:""&amp;A210,""closeyest"")"),633.65)</f>
        <v>633.65</v>
      </c>
      <c r="G210" s="14">
        <f t="shared" ca="1" si="60"/>
        <v>-1.7612845088883427E-2</v>
      </c>
      <c r="H210" s="13">
        <f ca="1">IFERROR(__xludf.DUMMYFUNCTION("GOOGLEFINANCE(""NSE:""&amp;A210,""VOLUME"")"),4029912)</f>
        <v>4029912</v>
      </c>
      <c r="I210" s="13" t="str">
        <f ca="1">IFERROR(__xludf.DUMMYFUNCTION("AVERAGE(index(GOOGLEFINANCE(""NSE:""&amp;$A210, ""volume"", today()-21, today()-1), , 2))"),"#N/A")</f>
        <v>#N/A</v>
      </c>
      <c r="J210" s="14" t="e">
        <f t="shared" ca="1" si="61"/>
        <v>#VALUE!</v>
      </c>
      <c r="K210" s="13" t="str">
        <f ca="1">IFERROR(__xludf.DUMMYFUNCTION("AVERAGE(index(GOOGLEFINANCE(""NSE:""&amp;$A210, ""close"", today()-6, today()-1), , 2))"),"#N/A")</f>
        <v>#N/A</v>
      </c>
      <c r="L210" s="13" t="str">
        <f ca="1">IFERROR(__xludf.DUMMYFUNCTION("AVERAGE(index(GOOGLEFINANCE(""NSE:""&amp;$A210, ""close"", today()-14, today()-1), , 2))"),"#N/A")</f>
        <v>#N/A</v>
      </c>
      <c r="M210" s="13" t="str">
        <f ca="1">IFERROR(__xludf.DUMMYFUNCTION("AVERAGE(index(GOOGLEFINANCE(""NSE:""&amp;$A210, ""close"", today()-22, today()-1), , 2))"),"#N/A")</f>
        <v>#N/A</v>
      </c>
      <c r="N210" s="13" t="str">
        <f t="shared" ca="1" si="62"/>
        <v>No_Action</v>
      </c>
      <c r="O210" s="13" t="str">
        <f t="shared" ca="1" si="63"/>
        <v>No_Action</v>
      </c>
      <c r="P210" s="13" t="str">
        <f t="shared" ca="1" si="64"/>
        <v>No_Action</v>
      </c>
      <c r="Q210" s="13" t="str">
        <f t="shared" ca="1" si="65"/>
        <v>No_Action</v>
      </c>
      <c r="R210" s="15"/>
      <c r="S210" s="15" t="str">
        <f t="shared" ca="1" si="66"/>
        <v>NoNo</v>
      </c>
      <c r="T210" s="15"/>
      <c r="U210" s="15">
        <f t="shared" ca="1" si="67"/>
        <v>0</v>
      </c>
      <c r="V210" s="15">
        <f t="shared" ca="1" si="68"/>
        <v>0</v>
      </c>
      <c r="W210" s="15" t="str">
        <f t="shared" ca="1" si="69"/>
        <v>No_Action</v>
      </c>
      <c r="X210" s="15"/>
      <c r="Y210" s="15" t="str">
        <f t="shared" ca="1" si="70"/>
        <v>No_Action</v>
      </c>
      <c r="Z210" s="15">
        <f t="shared" ca="1" si="71"/>
        <v>0</v>
      </c>
      <c r="AA210" s="15">
        <f t="shared" ca="1" si="72"/>
        <v>0</v>
      </c>
      <c r="AB210" s="15"/>
      <c r="AC210" s="15" t="str">
        <f t="shared" ca="1" si="73"/>
        <v>NoNo</v>
      </c>
      <c r="AD210" s="15"/>
      <c r="AE210" s="15">
        <f t="shared" ca="1" si="74"/>
        <v>0</v>
      </c>
      <c r="AF210" s="16">
        <f t="shared" ca="1" si="75"/>
        <v>0</v>
      </c>
      <c r="AG210" s="16" t="str">
        <f t="shared" ca="1" si="76"/>
        <v>No_Action</v>
      </c>
      <c r="AH210" s="15"/>
      <c r="AI210" s="15" t="str">
        <f t="shared" ca="1" si="77"/>
        <v>No_Action</v>
      </c>
      <c r="AJ210" s="15">
        <f t="shared" ca="1" si="78"/>
        <v>0</v>
      </c>
      <c r="AK210" s="15">
        <f t="shared" ca="1" si="79"/>
        <v>0</v>
      </c>
    </row>
    <row r="211" spans="1:37" ht="14.5" customHeight="1" x14ac:dyDescent="0.35">
      <c r="A211" s="12" t="s">
        <v>227</v>
      </c>
      <c r="B211" s="13">
        <f ca="1">IFERROR(__xludf.DUMMYFUNCTION("GOOGLEFINANCE(""NSE:""&amp;A211,""PRICE"")"),697)</f>
        <v>697</v>
      </c>
      <c r="C211" s="13">
        <f ca="1">IFERROR(__xludf.DUMMYFUNCTION("GOOGLEFINANCE(""NSE:""&amp;A211,""PRICEOPEN"")"),643.6)</f>
        <v>643.6</v>
      </c>
      <c r="D211" s="13">
        <f ca="1">IFERROR(__xludf.DUMMYFUNCTION("GOOGLEFINANCE(""NSE:""&amp;A211,""HIGH"")"),710)</f>
        <v>710</v>
      </c>
      <c r="E211" s="13">
        <f ca="1">IFERROR(__xludf.DUMMYFUNCTION("GOOGLEFINANCE(""NSE:""&amp;A211,""LOW"")"),643.6)</f>
        <v>643.6</v>
      </c>
      <c r="F211" s="13">
        <f ca="1">IFERROR(__xludf.DUMMYFUNCTION("GOOGLEFINANCE(""NSE:""&amp;A211,""closeyest"")"),642.85)</f>
        <v>642.85</v>
      </c>
      <c r="G211" s="14">
        <f t="shared" ca="1" si="60"/>
        <v>7.6614060258249614E-2</v>
      </c>
      <c r="H211" s="13">
        <f ca="1">IFERROR(__xludf.DUMMYFUNCTION("GOOGLEFINANCE(""NSE:""&amp;A211,""VOLUME"")"),100809)</f>
        <v>100809</v>
      </c>
      <c r="I211" s="13" t="str">
        <f ca="1">IFERROR(__xludf.DUMMYFUNCTION("AVERAGE(index(GOOGLEFINANCE(""NSE:""&amp;$A211, ""volume"", today()-21, today()-1), , 2))"),"#N/A")</f>
        <v>#N/A</v>
      </c>
      <c r="J211" s="14" t="e">
        <f t="shared" ca="1" si="61"/>
        <v>#VALUE!</v>
      </c>
      <c r="K211" s="13" t="str">
        <f ca="1">IFERROR(__xludf.DUMMYFUNCTION("AVERAGE(index(GOOGLEFINANCE(""NSE:""&amp;$A211, ""close"", today()-6, today()-1), , 2))"),"#N/A")</f>
        <v>#N/A</v>
      </c>
      <c r="L211" s="13" t="str">
        <f ca="1">IFERROR(__xludf.DUMMYFUNCTION("AVERAGE(index(GOOGLEFINANCE(""NSE:""&amp;$A211, ""close"", today()-14, today()-1), , 2))"),"#N/A")</f>
        <v>#N/A</v>
      </c>
      <c r="M211" s="13" t="str">
        <f ca="1">IFERROR(__xludf.DUMMYFUNCTION("AVERAGE(index(GOOGLEFINANCE(""NSE:""&amp;$A211, ""close"", today()-22, today()-1), , 2))"),"#N/A")</f>
        <v>#N/A</v>
      </c>
      <c r="N211" s="13" t="str">
        <f t="shared" ca="1" si="62"/>
        <v>No_Action</v>
      </c>
      <c r="O211" s="13" t="str">
        <f t="shared" ca="1" si="63"/>
        <v>No_Action</v>
      </c>
      <c r="P211" s="13" t="str">
        <f t="shared" ca="1" si="64"/>
        <v>No_Action</v>
      </c>
      <c r="Q211" s="13" t="str">
        <f t="shared" ca="1" si="65"/>
        <v>No_Action</v>
      </c>
      <c r="R211" s="15"/>
      <c r="S211" s="15" t="str">
        <f t="shared" ca="1" si="66"/>
        <v>NoNo</v>
      </c>
      <c r="T211" s="15"/>
      <c r="U211" s="15">
        <f t="shared" ca="1" si="67"/>
        <v>0</v>
      </c>
      <c r="V211" s="15">
        <f t="shared" ca="1" si="68"/>
        <v>0</v>
      </c>
      <c r="W211" s="15" t="str">
        <f t="shared" ca="1" si="69"/>
        <v>No_Action</v>
      </c>
      <c r="X211" s="15"/>
      <c r="Y211" s="15" t="str">
        <f t="shared" ca="1" si="70"/>
        <v>No_Action</v>
      </c>
      <c r="Z211" s="15">
        <f t="shared" ca="1" si="71"/>
        <v>0</v>
      </c>
      <c r="AA211" s="15">
        <f t="shared" ca="1" si="72"/>
        <v>0</v>
      </c>
      <c r="AB211" s="15"/>
      <c r="AC211" s="15" t="str">
        <f t="shared" ca="1" si="73"/>
        <v>NoNo</v>
      </c>
      <c r="AD211" s="15"/>
      <c r="AE211" s="15">
        <f t="shared" ca="1" si="74"/>
        <v>0</v>
      </c>
      <c r="AF211" s="16">
        <f t="shared" ca="1" si="75"/>
        <v>0</v>
      </c>
      <c r="AG211" s="16" t="str">
        <f t="shared" ca="1" si="76"/>
        <v>No_Action</v>
      </c>
      <c r="AH211" s="15"/>
      <c r="AI211" s="15" t="str">
        <f t="shared" ca="1" si="77"/>
        <v>No_Action</v>
      </c>
      <c r="AJ211" s="15">
        <f t="shared" ca="1" si="78"/>
        <v>0</v>
      </c>
      <c r="AK211" s="15">
        <f t="shared" ca="1" si="79"/>
        <v>0</v>
      </c>
    </row>
    <row r="212" spans="1:37" ht="14.5" customHeight="1" x14ac:dyDescent="0.35">
      <c r="A212" s="12" t="s">
        <v>228</v>
      </c>
      <c r="B212" s="13">
        <f ca="1">IFERROR(__xludf.DUMMYFUNCTION("GOOGLEFINANCE(""NSE:""&amp;A212,""PRICE"")"),1119.5)</f>
        <v>1119.5</v>
      </c>
      <c r="C212" s="13">
        <f ca="1">IFERROR(__xludf.DUMMYFUNCTION("GOOGLEFINANCE(""NSE:""&amp;A212,""PRICEOPEN"")"),1062.05)</f>
        <v>1062.05</v>
      </c>
      <c r="D212" s="13">
        <f ca="1">IFERROR(__xludf.DUMMYFUNCTION("GOOGLEFINANCE(""NSE:""&amp;A212,""HIGH"")"),1122.45)</f>
        <v>1122.45</v>
      </c>
      <c r="E212" s="13">
        <f ca="1">IFERROR(__xludf.DUMMYFUNCTION("GOOGLEFINANCE(""NSE:""&amp;A212,""LOW"")"),1062.05)</f>
        <v>1062.05</v>
      </c>
      <c r="F212" s="13">
        <f ca="1">IFERROR(__xludf.DUMMYFUNCTION("GOOGLEFINANCE(""NSE:""&amp;A212,""closeyest"")"),1096.15)</f>
        <v>1096.1500000000001</v>
      </c>
      <c r="G212" s="14">
        <f t="shared" ca="1" si="60"/>
        <v>5.1317552478785215E-2</v>
      </c>
      <c r="H212" s="13">
        <f ca="1">IFERROR(__xludf.DUMMYFUNCTION("GOOGLEFINANCE(""NSE:""&amp;A212,""VOLUME"")"),1499766)</f>
        <v>1499766</v>
      </c>
      <c r="I212" s="13" t="str">
        <f ca="1">IFERROR(__xludf.DUMMYFUNCTION("AVERAGE(index(GOOGLEFINANCE(""NSE:""&amp;$A212, ""volume"", today()-21, today()-1), , 2))"),"#N/A")</f>
        <v>#N/A</v>
      </c>
      <c r="J212" s="14" t="e">
        <f t="shared" ca="1" si="61"/>
        <v>#VALUE!</v>
      </c>
      <c r="K212" s="13" t="str">
        <f ca="1">IFERROR(__xludf.DUMMYFUNCTION("AVERAGE(index(GOOGLEFINANCE(""NSE:""&amp;$A212, ""close"", today()-6, today()-1), , 2))"),"#N/A")</f>
        <v>#N/A</v>
      </c>
      <c r="L212" s="13" t="str">
        <f ca="1">IFERROR(__xludf.DUMMYFUNCTION("AVERAGE(index(GOOGLEFINANCE(""NSE:""&amp;$A212, ""close"", today()-14, today()-1), , 2))"),"#N/A")</f>
        <v>#N/A</v>
      </c>
      <c r="M212" s="13" t="str">
        <f ca="1">IFERROR(__xludf.DUMMYFUNCTION("AVERAGE(index(GOOGLEFINANCE(""NSE:""&amp;$A212, ""close"", today()-22, today()-1), , 2))"),"#N/A")</f>
        <v>#N/A</v>
      </c>
      <c r="N212" s="13" t="str">
        <f t="shared" ca="1" si="62"/>
        <v>No_Action</v>
      </c>
      <c r="O212" s="13" t="str">
        <f t="shared" ca="1" si="63"/>
        <v>No_Action</v>
      </c>
      <c r="P212" s="13" t="str">
        <f t="shared" ca="1" si="64"/>
        <v>No_Action</v>
      </c>
      <c r="Q212" s="13" t="str">
        <f t="shared" ca="1" si="65"/>
        <v>No_Action</v>
      </c>
      <c r="R212" s="15"/>
      <c r="S212" s="15" t="str">
        <f t="shared" ca="1" si="66"/>
        <v>NoNo</v>
      </c>
      <c r="T212" s="15"/>
      <c r="U212" s="15">
        <f t="shared" ca="1" si="67"/>
        <v>0</v>
      </c>
      <c r="V212" s="15">
        <f t="shared" ca="1" si="68"/>
        <v>0</v>
      </c>
      <c r="W212" s="15" t="str">
        <f t="shared" ca="1" si="69"/>
        <v>No_Action</v>
      </c>
      <c r="X212" s="15"/>
      <c r="Y212" s="15" t="str">
        <f t="shared" ca="1" si="70"/>
        <v>No_Action</v>
      </c>
      <c r="Z212" s="15">
        <f t="shared" ca="1" si="71"/>
        <v>0</v>
      </c>
      <c r="AA212" s="15">
        <f t="shared" ca="1" si="72"/>
        <v>0</v>
      </c>
      <c r="AB212" s="15"/>
      <c r="AC212" s="15" t="str">
        <f t="shared" ca="1" si="73"/>
        <v>NoNo</v>
      </c>
      <c r="AD212" s="15"/>
      <c r="AE212" s="15">
        <f t="shared" ca="1" si="74"/>
        <v>0</v>
      </c>
      <c r="AF212" s="16">
        <f t="shared" ca="1" si="75"/>
        <v>0</v>
      </c>
      <c r="AG212" s="16" t="str">
        <f t="shared" ca="1" si="76"/>
        <v>No_Action</v>
      </c>
      <c r="AH212" s="15"/>
      <c r="AI212" s="15" t="str">
        <f t="shared" ca="1" si="77"/>
        <v>No_Action</v>
      </c>
      <c r="AJ212" s="15">
        <f t="shared" ca="1" si="78"/>
        <v>0</v>
      </c>
      <c r="AK212" s="15">
        <f t="shared" ca="1" si="79"/>
        <v>0</v>
      </c>
    </row>
    <row r="213" spans="1:37" ht="14.5" customHeight="1" x14ac:dyDescent="0.35">
      <c r="A213" s="12" t="s">
        <v>229</v>
      </c>
      <c r="B213" s="13">
        <f ca="1">IFERROR(__xludf.DUMMYFUNCTION("GOOGLEFINANCE(""NSE:""&amp;A213,""PRICE"")"),576.35)</f>
        <v>576.35</v>
      </c>
      <c r="C213" s="13">
        <f ca="1">IFERROR(__xludf.DUMMYFUNCTION("GOOGLEFINANCE(""NSE:""&amp;A213,""PRICEOPEN"")"),580)</f>
        <v>580</v>
      </c>
      <c r="D213" s="13">
        <f ca="1">IFERROR(__xludf.DUMMYFUNCTION("GOOGLEFINANCE(""NSE:""&amp;A213,""HIGH"")"),582.5)</f>
        <v>582.5</v>
      </c>
      <c r="E213" s="13">
        <f ca="1">IFERROR(__xludf.DUMMYFUNCTION("GOOGLEFINANCE(""NSE:""&amp;A213,""LOW"")"),570.85)</f>
        <v>570.85</v>
      </c>
      <c r="F213" s="13">
        <f ca="1">IFERROR(__xludf.DUMMYFUNCTION("GOOGLEFINANCE(""NSE:""&amp;A213,""closeyest"")"),580)</f>
        <v>580</v>
      </c>
      <c r="G213" s="14">
        <f t="shared" ca="1" si="60"/>
        <v>-6.3329574043549533E-3</v>
      </c>
      <c r="H213" s="13">
        <f ca="1">IFERROR(__xludf.DUMMYFUNCTION("GOOGLEFINANCE(""NSE:""&amp;A213,""VOLUME"")"),75576)</f>
        <v>75576</v>
      </c>
      <c r="I213" s="13" t="str">
        <f ca="1">IFERROR(__xludf.DUMMYFUNCTION("AVERAGE(index(GOOGLEFINANCE(""NSE:""&amp;$A213, ""volume"", today()-21, today()-1), , 2))"),"#N/A")</f>
        <v>#N/A</v>
      </c>
      <c r="J213" s="14" t="e">
        <f t="shared" ca="1" si="61"/>
        <v>#VALUE!</v>
      </c>
      <c r="K213" s="13" t="str">
        <f ca="1">IFERROR(__xludf.DUMMYFUNCTION("AVERAGE(index(GOOGLEFINANCE(""NSE:""&amp;$A213, ""close"", today()-6, today()-1), , 2))"),"#N/A")</f>
        <v>#N/A</v>
      </c>
      <c r="L213" s="13" t="str">
        <f ca="1">IFERROR(__xludf.DUMMYFUNCTION("AVERAGE(index(GOOGLEFINANCE(""NSE:""&amp;$A213, ""close"", today()-14, today()-1), , 2))"),"#N/A")</f>
        <v>#N/A</v>
      </c>
      <c r="M213" s="13" t="str">
        <f ca="1">IFERROR(__xludf.DUMMYFUNCTION("AVERAGE(index(GOOGLEFINANCE(""NSE:""&amp;$A213, ""close"", today()-22, today()-1), , 2))"),"#N/A")</f>
        <v>#N/A</v>
      </c>
      <c r="N213" s="13" t="str">
        <f t="shared" ca="1" si="62"/>
        <v>No_Action</v>
      </c>
      <c r="O213" s="13" t="str">
        <f t="shared" ca="1" si="63"/>
        <v>No_Action</v>
      </c>
      <c r="P213" s="13" t="str">
        <f t="shared" ca="1" si="64"/>
        <v>No_Action</v>
      </c>
      <c r="Q213" s="13" t="str">
        <f t="shared" ca="1" si="65"/>
        <v>No_Action</v>
      </c>
      <c r="R213" s="15"/>
      <c r="S213" s="15" t="str">
        <f t="shared" ca="1" si="66"/>
        <v>NoNo</v>
      </c>
      <c r="T213" s="15"/>
      <c r="U213" s="15">
        <f t="shared" ca="1" si="67"/>
        <v>0</v>
      </c>
      <c r="V213" s="15">
        <f t="shared" ca="1" si="68"/>
        <v>0</v>
      </c>
      <c r="W213" s="15" t="str">
        <f t="shared" ca="1" si="69"/>
        <v>No_Action</v>
      </c>
      <c r="X213" s="15"/>
      <c r="Y213" s="15" t="str">
        <f t="shared" ca="1" si="70"/>
        <v>No_Action</v>
      </c>
      <c r="Z213" s="15">
        <f t="shared" ca="1" si="71"/>
        <v>0</v>
      </c>
      <c r="AA213" s="15">
        <f t="shared" ca="1" si="72"/>
        <v>0</v>
      </c>
      <c r="AB213" s="15"/>
      <c r="AC213" s="15" t="str">
        <f t="shared" ca="1" si="73"/>
        <v>NoNo</v>
      </c>
      <c r="AD213" s="15"/>
      <c r="AE213" s="15">
        <f t="shared" ca="1" si="74"/>
        <v>0</v>
      </c>
      <c r="AF213" s="16">
        <f t="shared" ca="1" si="75"/>
        <v>0</v>
      </c>
      <c r="AG213" s="16" t="str">
        <f t="shared" ca="1" si="76"/>
        <v>No_Action</v>
      </c>
      <c r="AH213" s="15"/>
      <c r="AI213" s="15" t="str">
        <f t="shared" ca="1" si="77"/>
        <v>No_Action</v>
      </c>
      <c r="AJ213" s="15">
        <f t="shared" ca="1" si="78"/>
        <v>0</v>
      </c>
      <c r="AK213" s="15">
        <f t="shared" ca="1" si="79"/>
        <v>0</v>
      </c>
    </row>
    <row r="214" spans="1:37" ht="14.5" customHeight="1" x14ac:dyDescent="0.35">
      <c r="A214" s="12" t="s">
        <v>230</v>
      </c>
      <c r="B214" s="13">
        <f ca="1">IFERROR(__xludf.DUMMYFUNCTION("GOOGLEFINANCE(""NSE:""&amp;A214,""PRICE"")"),1279.75)</f>
        <v>1279.75</v>
      </c>
      <c r="C214" s="13">
        <f ca="1">IFERROR(__xludf.DUMMYFUNCTION("GOOGLEFINANCE(""NSE:""&amp;A214,""PRICEOPEN"")"),1247.8)</f>
        <v>1247.8</v>
      </c>
      <c r="D214" s="13">
        <f ca="1">IFERROR(__xludf.DUMMYFUNCTION("GOOGLEFINANCE(""NSE:""&amp;A214,""HIGH"")"),1284.5)</f>
        <v>1284.5</v>
      </c>
      <c r="E214" s="13">
        <f ca="1">IFERROR(__xludf.DUMMYFUNCTION("GOOGLEFINANCE(""NSE:""&amp;A214,""LOW"")"),1242.95)</f>
        <v>1242.95</v>
      </c>
      <c r="F214" s="13">
        <f ca="1">IFERROR(__xludf.DUMMYFUNCTION("GOOGLEFINANCE(""NSE:""&amp;A214,""closeyest"")"),1253.1)</f>
        <v>1253.0999999999999</v>
      </c>
      <c r="G214" s="14">
        <f t="shared" ca="1" si="60"/>
        <v>2.4965813635475714E-2</v>
      </c>
      <c r="H214" s="13">
        <f ca="1">IFERROR(__xludf.DUMMYFUNCTION("GOOGLEFINANCE(""NSE:""&amp;A214,""VOLUME"")"),93681)</f>
        <v>93681</v>
      </c>
      <c r="I214" s="13" t="str">
        <f ca="1">IFERROR(__xludf.DUMMYFUNCTION("AVERAGE(index(GOOGLEFINANCE(""NSE:""&amp;$A214, ""volume"", today()-21, today()-1), , 2))"),"#N/A")</f>
        <v>#N/A</v>
      </c>
      <c r="J214" s="14" t="e">
        <f t="shared" ca="1" si="61"/>
        <v>#VALUE!</v>
      </c>
      <c r="K214" s="13" t="str">
        <f ca="1">IFERROR(__xludf.DUMMYFUNCTION("AVERAGE(index(GOOGLEFINANCE(""NSE:""&amp;$A214, ""close"", today()-6, today()-1), , 2))"),"#N/A")</f>
        <v>#N/A</v>
      </c>
      <c r="L214" s="13" t="str">
        <f ca="1">IFERROR(__xludf.DUMMYFUNCTION("AVERAGE(index(GOOGLEFINANCE(""NSE:""&amp;$A214, ""close"", today()-14, today()-1), , 2))"),"#N/A")</f>
        <v>#N/A</v>
      </c>
      <c r="M214" s="13" t="str">
        <f ca="1">IFERROR(__xludf.DUMMYFUNCTION("AVERAGE(index(GOOGLEFINANCE(""NSE:""&amp;$A214, ""close"", today()-22, today()-1), , 2))"),"#N/A")</f>
        <v>#N/A</v>
      </c>
      <c r="N214" s="13" t="str">
        <f t="shared" ca="1" si="62"/>
        <v>No_Action</v>
      </c>
      <c r="O214" s="13" t="str">
        <f t="shared" ca="1" si="63"/>
        <v>No_Action</v>
      </c>
      <c r="P214" s="13" t="str">
        <f t="shared" ca="1" si="64"/>
        <v>No_Action</v>
      </c>
      <c r="Q214" s="13" t="str">
        <f t="shared" ca="1" si="65"/>
        <v>No_Action</v>
      </c>
      <c r="R214" s="15"/>
      <c r="S214" s="15" t="str">
        <f t="shared" ca="1" si="66"/>
        <v>NoNo</v>
      </c>
      <c r="T214" s="15"/>
      <c r="U214" s="15">
        <f t="shared" ca="1" si="67"/>
        <v>0</v>
      </c>
      <c r="V214" s="15">
        <f t="shared" ca="1" si="68"/>
        <v>0</v>
      </c>
      <c r="W214" s="15" t="str">
        <f t="shared" ca="1" si="69"/>
        <v>No_Action</v>
      </c>
      <c r="X214" s="15"/>
      <c r="Y214" s="15" t="str">
        <f t="shared" ca="1" si="70"/>
        <v>No_Action</v>
      </c>
      <c r="Z214" s="15">
        <f t="shared" ca="1" si="71"/>
        <v>0</v>
      </c>
      <c r="AA214" s="15">
        <f t="shared" ca="1" si="72"/>
        <v>0</v>
      </c>
      <c r="AB214" s="15"/>
      <c r="AC214" s="15" t="str">
        <f t="shared" ca="1" si="73"/>
        <v>NoNo</v>
      </c>
      <c r="AD214" s="15"/>
      <c r="AE214" s="15">
        <f t="shared" ca="1" si="74"/>
        <v>0</v>
      </c>
      <c r="AF214" s="16">
        <f t="shared" ca="1" si="75"/>
        <v>0</v>
      </c>
      <c r="AG214" s="16" t="str">
        <f t="shared" ca="1" si="76"/>
        <v>No_Action</v>
      </c>
      <c r="AH214" s="15"/>
      <c r="AI214" s="15" t="str">
        <f t="shared" ca="1" si="77"/>
        <v>No_Action</v>
      </c>
      <c r="AJ214" s="15">
        <f t="shared" ca="1" si="78"/>
        <v>0</v>
      </c>
      <c r="AK214" s="15">
        <f t="shared" ca="1" si="79"/>
        <v>0</v>
      </c>
    </row>
    <row r="215" spans="1:37" ht="14.5" customHeight="1" x14ac:dyDescent="0.35">
      <c r="A215" s="12" t="s">
        <v>231</v>
      </c>
      <c r="B215" s="13">
        <f ca="1">IFERROR(__xludf.DUMMYFUNCTION("GOOGLEFINANCE(""NSE:""&amp;A215,""PRICE"")"),2210.1)</f>
        <v>2210.1</v>
      </c>
      <c r="C215" s="13">
        <f ca="1">IFERROR(__xludf.DUMMYFUNCTION("GOOGLEFINANCE(""NSE:""&amp;A215,""PRICEOPEN"")"),2125)</f>
        <v>2125</v>
      </c>
      <c r="D215" s="13">
        <f ca="1">IFERROR(__xludf.DUMMYFUNCTION("GOOGLEFINANCE(""NSE:""&amp;A215,""HIGH"")"),2212)</f>
        <v>2212</v>
      </c>
      <c r="E215" s="13">
        <f ca="1">IFERROR(__xludf.DUMMYFUNCTION("GOOGLEFINANCE(""NSE:""&amp;A215,""LOW"")"),2091.5)</f>
        <v>2091.5</v>
      </c>
      <c r="F215" s="13">
        <f ca="1">IFERROR(__xludf.DUMMYFUNCTION("GOOGLEFINANCE(""NSE:""&amp;A215,""closeyest"")"),2135.5)</f>
        <v>2135.5</v>
      </c>
      <c r="G215" s="14">
        <f t="shared" ca="1" si="60"/>
        <v>3.8505045020587263E-2</v>
      </c>
      <c r="H215" s="13">
        <f ca="1">IFERROR(__xludf.DUMMYFUNCTION("GOOGLEFINANCE(""NSE:""&amp;A215,""VOLUME"")"),553459)</f>
        <v>553459</v>
      </c>
      <c r="I215" s="13" t="str">
        <f ca="1">IFERROR(__xludf.DUMMYFUNCTION("AVERAGE(index(GOOGLEFINANCE(""NSE:""&amp;$A215, ""volume"", today()-21, today()-1), , 2))"),"#N/A")</f>
        <v>#N/A</v>
      </c>
      <c r="J215" s="14" t="e">
        <f t="shared" ca="1" si="61"/>
        <v>#VALUE!</v>
      </c>
      <c r="K215" s="13" t="str">
        <f ca="1">IFERROR(__xludf.DUMMYFUNCTION("AVERAGE(index(GOOGLEFINANCE(""NSE:""&amp;$A215, ""close"", today()-6, today()-1), , 2))"),"#N/A")</f>
        <v>#N/A</v>
      </c>
      <c r="L215" s="13" t="str">
        <f ca="1">IFERROR(__xludf.DUMMYFUNCTION("AVERAGE(index(GOOGLEFINANCE(""NSE:""&amp;$A215, ""close"", today()-14, today()-1), , 2))"),"#N/A")</f>
        <v>#N/A</v>
      </c>
      <c r="M215" s="13" t="str">
        <f ca="1">IFERROR(__xludf.DUMMYFUNCTION("AVERAGE(index(GOOGLEFINANCE(""NSE:""&amp;$A215, ""close"", today()-22, today()-1), , 2))"),"#N/A")</f>
        <v>#N/A</v>
      </c>
      <c r="N215" s="13" t="str">
        <f t="shared" ca="1" si="62"/>
        <v>No_Action</v>
      </c>
      <c r="O215" s="13" t="str">
        <f t="shared" ca="1" si="63"/>
        <v>No_Action</v>
      </c>
      <c r="P215" s="13" t="str">
        <f t="shared" ca="1" si="64"/>
        <v>No_Action</v>
      </c>
      <c r="Q215" s="13" t="str">
        <f t="shared" ca="1" si="65"/>
        <v>No_Action</v>
      </c>
      <c r="R215" s="15"/>
      <c r="S215" s="15" t="str">
        <f t="shared" ca="1" si="66"/>
        <v>NoNo</v>
      </c>
      <c r="T215" s="15"/>
      <c r="U215" s="15">
        <f t="shared" ca="1" si="67"/>
        <v>0</v>
      </c>
      <c r="V215" s="15">
        <f t="shared" ca="1" si="68"/>
        <v>0</v>
      </c>
      <c r="W215" s="15" t="str">
        <f t="shared" ca="1" si="69"/>
        <v>No_Action</v>
      </c>
      <c r="X215" s="15"/>
      <c r="Y215" s="15" t="str">
        <f t="shared" ca="1" si="70"/>
        <v>No_Action</v>
      </c>
      <c r="Z215" s="15">
        <f t="shared" ca="1" si="71"/>
        <v>0</v>
      </c>
      <c r="AA215" s="15">
        <f t="shared" ca="1" si="72"/>
        <v>0</v>
      </c>
      <c r="AB215" s="15"/>
      <c r="AC215" s="15" t="str">
        <f t="shared" ca="1" si="73"/>
        <v>NoNo</v>
      </c>
      <c r="AD215" s="15"/>
      <c r="AE215" s="15">
        <f t="shared" ca="1" si="74"/>
        <v>0</v>
      </c>
      <c r="AF215" s="16">
        <f t="shared" ca="1" si="75"/>
        <v>0</v>
      </c>
      <c r="AG215" s="16" t="str">
        <f t="shared" ca="1" si="76"/>
        <v>No_Action</v>
      </c>
      <c r="AH215" s="15"/>
      <c r="AI215" s="15" t="str">
        <f t="shared" ca="1" si="77"/>
        <v>No_Action</v>
      </c>
      <c r="AJ215" s="15">
        <f t="shared" ca="1" si="78"/>
        <v>0</v>
      </c>
      <c r="AK215" s="15">
        <f t="shared" ca="1" si="79"/>
        <v>0</v>
      </c>
    </row>
    <row r="216" spans="1:37" ht="14.5" customHeight="1" x14ac:dyDescent="0.35">
      <c r="A216" s="12" t="s">
        <v>232</v>
      </c>
      <c r="B216" s="13">
        <f ca="1">IFERROR(__xludf.DUMMYFUNCTION("GOOGLEFINANCE(""NSE:""&amp;A216,""PRICE"")"),354.8)</f>
        <v>354.8</v>
      </c>
      <c r="C216" s="13">
        <f ca="1">IFERROR(__xludf.DUMMYFUNCTION("GOOGLEFINANCE(""NSE:""&amp;A216,""PRICEOPEN"")"),357.05)</f>
        <v>357.05</v>
      </c>
      <c r="D216" s="13">
        <f ca="1">IFERROR(__xludf.DUMMYFUNCTION("GOOGLEFINANCE(""NSE:""&amp;A216,""HIGH"")"),361.55)</f>
        <v>361.55</v>
      </c>
      <c r="E216" s="13">
        <f ca="1">IFERROR(__xludf.DUMMYFUNCTION("GOOGLEFINANCE(""NSE:""&amp;A216,""LOW"")"),352.55)</f>
        <v>352.55</v>
      </c>
      <c r="F216" s="13">
        <f ca="1">IFERROR(__xludf.DUMMYFUNCTION("GOOGLEFINANCE(""NSE:""&amp;A216,""closeyest"")"),355.35)</f>
        <v>355.35</v>
      </c>
      <c r="G216" s="14">
        <f t="shared" ca="1" si="60"/>
        <v>-6.3416009019165729E-3</v>
      </c>
      <c r="H216" s="13">
        <f ca="1">IFERROR(__xludf.DUMMYFUNCTION("GOOGLEFINANCE(""NSE:""&amp;A216,""VOLUME"")"),962784)</f>
        <v>962784</v>
      </c>
      <c r="I216" s="13" t="str">
        <f ca="1">IFERROR(__xludf.DUMMYFUNCTION("AVERAGE(index(GOOGLEFINANCE(""NSE:""&amp;$A216, ""volume"", today()-21, today()-1), , 2))"),"#N/A")</f>
        <v>#N/A</v>
      </c>
      <c r="J216" s="14" t="e">
        <f t="shared" ca="1" si="61"/>
        <v>#VALUE!</v>
      </c>
      <c r="K216" s="13" t="str">
        <f ca="1">IFERROR(__xludf.DUMMYFUNCTION("AVERAGE(index(GOOGLEFINANCE(""NSE:""&amp;$A216, ""close"", today()-6, today()-1), , 2))"),"#N/A")</f>
        <v>#N/A</v>
      </c>
      <c r="L216" s="13" t="str">
        <f ca="1">IFERROR(__xludf.DUMMYFUNCTION("AVERAGE(index(GOOGLEFINANCE(""NSE:""&amp;$A216, ""close"", today()-14, today()-1), , 2))"),"#N/A")</f>
        <v>#N/A</v>
      </c>
      <c r="M216" s="13" t="str">
        <f ca="1">IFERROR(__xludf.DUMMYFUNCTION("AVERAGE(index(GOOGLEFINANCE(""NSE:""&amp;$A216, ""close"", today()-22, today()-1), , 2))"),"#N/A")</f>
        <v>#N/A</v>
      </c>
      <c r="N216" s="13" t="str">
        <f t="shared" ca="1" si="62"/>
        <v>No_Action</v>
      </c>
      <c r="O216" s="13" t="str">
        <f t="shared" ca="1" si="63"/>
        <v>No_Action</v>
      </c>
      <c r="P216" s="13" t="str">
        <f t="shared" ca="1" si="64"/>
        <v>No_Action</v>
      </c>
      <c r="Q216" s="13" t="str">
        <f t="shared" ca="1" si="65"/>
        <v>No_Action</v>
      </c>
      <c r="R216" s="15"/>
      <c r="S216" s="15" t="str">
        <f t="shared" ca="1" si="66"/>
        <v>NoNo</v>
      </c>
      <c r="T216" s="15"/>
      <c r="U216" s="15">
        <f t="shared" ca="1" si="67"/>
        <v>0</v>
      </c>
      <c r="V216" s="15">
        <f t="shared" ca="1" si="68"/>
        <v>0</v>
      </c>
      <c r="W216" s="15" t="str">
        <f t="shared" ca="1" si="69"/>
        <v>No_Action</v>
      </c>
      <c r="X216" s="15"/>
      <c r="Y216" s="15" t="str">
        <f t="shared" ca="1" si="70"/>
        <v>No_Action</v>
      </c>
      <c r="Z216" s="15">
        <f t="shared" ca="1" si="71"/>
        <v>0</v>
      </c>
      <c r="AA216" s="15">
        <f t="shared" ca="1" si="72"/>
        <v>0</v>
      </c>
      <c r="AB216" s="15"/>
      <c r="AC216" s="15" t="str">
        <f t="shared" ca="1" si="73"/>
        <v>NoNo</v>
      </c>
      <c r="AD216" s="15"/>
      <c r="AE216" s="15">
        <f t="shared" ca="1" si="74"/>
        <v>0</v>
      </c>
      <c r="AF216" s="16">
        <f t="shared" ca="1" si="75"/>
        <v>0</v>
      </c>
      <c r="AG216" s="16" t="str">
        <f t="shared" ca="1" si="76"/>
        <v>No_Action</v>
      </c>
      <c r="AH216" s="15"/>
      <c r="AI216" s="15" t="str">
        <f t="shared" ca="1" si="77"/>
        <v>No_Action</v>
      </c>
      <c r="AJ216" s="15">
        <f t="shared" ca="1" si="78"/>
        <v>0</v>
      </c>
      <c r="AK216" s="15">
        <f t="shared" ca="1" si="79"/>
        <v>0</v>
      </c>
    </row>
    <row r="217" spans="1:37" ht="14.5" customHeight="1" x14ac:dyDescent="0.35">
      <c r="A217" s="12" t="s">
        <v>233</v>
      </c>
      <c r="B217" s="13">
        <f ca="1">IFERROR(__xludf.DUMMYFUNCTION("GOOGLEFINANCE(""NSE:""&amp;A217,""PRICE"")"),216.85)</f>
        <v>216.85</v>
      </c>
      <c r="C217" s="13">
        <f ca="1">IFERROR(__xludf.DUMMYFUNCTION("GOOGLEFINANCE(""NSE:""&amp;A217,""PRICEOPEN"")"),217.4)</f>
        <v>217.4</v>
      </c>
      <c r="D217" s="13">
        <f ca="1">IFERROR(__xludf.DUMMYFUNCTION("GOOGLEFINANCE(""NSE:""&amp;A217,""HIGH"")"),224.49)</f>
        <v>224.49</v>
      </c>
      <c r="E217" s="13">
        <f ca="1">IFERROR(__xludf.DUMMYFUNCTION("GOOGLEFINANCE(""NSE:""&amp;A217,""LOW"")"),216.1)</f>
        <v>216.1</v>
      </c>
      <c r="F217" s="13">
        <f ca="1">IFERROR(__xludf.DUMMYFUNCTION("GOOGLEFINANCE(""NSE:""&amp;A217,""closeyest"")"),215.46)</f>
        <v>215.46</v>
      </c>
      <c r="G217" s="14">
        <f t="shared" ca="1" si="60"/>
        <v>-2.5363154254093214E-3</v>
      </c>
      <c r="H217" s="13">
        <f ca="1">IFERROR(__xludf.DUMMYFUNCTION("GOOGLEFINANCE(""NSE:""&amp;A217,""VOLUME"")"),70810)</f>
        <v>70810</v>
      </c>
      <c r="I217" s="13" t="str">
        <f ca="1">IFERROR(__xludf.DUMMYFUNCTION("AVERAGE(index(GOOGLEFINANCE(""NSE:""&amp;$A217, ""volume"", today()-21, today()-1), , 2))"),"#N/A")</f>
        <v>#N/A</v>
      </c>
      <c r="J217" s="14" t="e">
        <f t="shared" ca="1" si="61"/>
        <v>#VALUE!</v>
      </c>
      <c r="K217" s="13" t="str">
        <f ca="1">IFERROR(__xludf.DUMMYFUNCTION("AVERAGE(index(GOOGLEFINANCE(""NSE:""&amp;$A217, ""close"", today()-6, today()-1), , 2))"),"#N/A")</f>
        <v>#N/A</v>
      </c>
      <c r="L217" s="13" t="str">
        <f ca="1">IFERROR(__xludf.DUMMYFUNCTION("AVERAGE(index(GOOGLEFINANCE(""NSE:""&amp;$A217, ""close"", today()-14, today()-1), , 2))"),"#N/A")</f>
        <v>#N/A</v>
      </c>
      <c r="M217" s="13" t="str">
        <f ca="1">IFERROR(__xludf.DUMMYFUNCTION("AVERAGE(index(GOOGLEFINANCE(""NSE:""&amp;$A217, ""close"", today()-22, today()-1), , 2))"),"#N/A")</f>
        <v>#N/A</v>
      </c>
      <c r="N217" s="13" t="str">
        <f t="shared" ca="1" si="62"/>
        <v>No_Action</v>
      </c>
      <c r="O217" s="13" t="str">
        <f t="shared" ca="1" si="63"/>
        <v>No_Action</v>
      </c>
      <c r="P217" s="13" t="str">
        <f t="shared" ca="1" si="64"/>
        <v>No_Action</v>
      </c>
      <c r="Q217" s="13" t="str">
        <f t="shared" ca="1" si="65"/>
        <v>No_Action</v>
      </c>
      <c r="R217" s="15"/>
      <c r="S217" s="15" t="str">
        <f t="shared" ca="1" si="66"/>
        <v>NoNo</v>
      </c>
      <c r="T217" s="15"/>
      <c r="U217" s="15">
        <f t="shared" ca="1" si="67"/>
        <v>0</v>
      </c>
      <c r="V217" s="15">
        <f t="shared" ca="1" si="68"/>
        <v>0</v>
      </c>
      <c r="W217" s="15" t="str">
        <f t="shared" ca="1" si="69"/>
        <v>No_Action</v>
      </c>
      <c r="X217" s="15"/>
      <c r="Y217" s="15" t="str">
        <f t="shared" ca="1" si="70"/>
        <v>No_Action</v>
      </c>
      <c r="Z217" s="15">
        <f t="shared" ca="1" si="71"/>
        <v>0</v>
      </c>
      <c r="AA217" s="15">
        <f t="shared" ca="1" si="72"/>
        <v>0</v>
      </c>
      <c r="AB217" s="15"/>
      <c r="AC217" s="15" t="str">
        <f t="shared" ca="1" si="73"/>
        <v>NoNo</v>
      </c>
      <c r="AD217" s="15"/>
      <c r="AE217" s="15">
        <f t="shared" ca="1" si="74"/>
        <v>0</v>
      </c>
      <c r="AF217" s="16">
        <f t="shared" ca="1" si="75"/>
        <v>0</v>
      </c>
      <c r="AG217" s="16" t="str">
        <f t="shared" ca="1" si="76"/>
        <v>No_Action</v>
      </c>
      <c r="AH217" s="15"/>
      <c r="AI217" s="15" t="str">
        <f t="shared" ca="1" si="77"/>
        <v>No_Action</v>
      </c>
      <c r="AJ217" s="15">
        <f t="shared" ca="1" si="78"/>
        <v>0</v>
      </c>
      <c r="AK217" s="15">
        <f t="shared" ca="1" si="79"/>
        <v>0</v>
      </c>
    </row>
    <row r="218" spans="1:37" ht="14.5" customHeight="1" x14ac:dyDescent="0.35">
      <c r="A218" s="12" t="s">
        <v>234</v>
      </c>
      <c r="B218" s="13">
        <f ca="1">IFERROR(__xludf.DUMMYFUNCTION("GOOGLEFINANCE(""NSE:""&amp;A218,""PRICE"")"),2194.6)</f>
        <v>2194.6</v>
      </c>
      <c r="C218" s="13">
        <f ca="1">IFERROR(__xludf.DUMMYFUNCTION("GOOGLEFINANCE(""NSE:""&amp;A218,""PRICEOPEN"")"),2199.4)</f>
        <v>2199.4</v>
      </c>
      <c r="D218" s="13">
        <f ca="1">IFERROR(__xludf.DUMMYFUNCTION("GOOGLEFINANCE(""NSE:""&amp;A218,""HIGH"")"),2267)</f>
        <v>2267</v>
      </c>
      <c r="E218" s="13">
        <f ca="1">IFERROR(__xludf.DUMMYFUNCTION("GOOGLEFINANCE(""NSE:""&amp;A218,""LOW"")"),2183.6)</f>
        <v>2183.6</v>
      </c>
      <c r="F218" s="13">
        <f ca="1">IFERROR(__xludf.DUMMYFUNCTION("GOOGLEFINANCE(""NSE:""&amp;A218,""closeyest"")"),2182.15)</f>
        <v>2182.15</v>
      </c>
      <c r="G218" s="14">
        <f t="shared" ca="1" si="60"/>
        <v>-2.1871867310672478E-3</v>
      </c>
      <c r="H218" s="13">
        <f ca="1">IFERROR(__xludf.DUMMYFUNCTION("GOOGLEFINANCE(""NSE:""&amp;A218,""VOLUME"")"),15864)</f>
        <v>15864</v>
      </c>
      <c r="I218" s="13" t="str">
        <f ca="1">IFERROR(__xludf.DUMMYFUNCTION("AVERAGE(index(GOOGLEFINANCE(""NSE:""&amp;$A218, ""volume"", today()-21, today()-1), , 2))"),"#N/A")</f>
        <v>#N/A</v>
      </c>
      <c r="J218" s="14" t="e">
        <f t="shared" ca="1" si="61"/>
        <v>#VALUE!</v>
      </c>
      <c r="K218" s="13" t="str">
        <f ca="1">IFERROR(__xludf.DUMMYFUNCTION("AVERAGE(index(GOOGLEFINANCE(""NSE:""&amp;$A218, ""close"", today()-6, today()-1), , 2))"),"#N/A")</f>
        <v>#N/A</v>
      </c>
      <c r="L218" s="13" t="str">
        <f ca="1">IFERROR(__xludf.DUMMYFUNCTION("AVERAGE(index(GOOGLEFINANCE(""NSE:""&amp;$A218, ""close"", today()-14, today()-1), , 2))"),"#N/A")</f>
        <v>#N/A</v>
      </c>
      <c r="M218" s="13" t="str">
        <f ca="1">IFERROR(__xludf.DUMMYFUNCTION("AVERAGE(index(GOOGLEFINANCE(""NSE:""&amp;$A218, ""close"", today()-22, today()-1), , 2))"),"#N/A")</f>
        <v>#N/A</v>
      </c>
      <c r="N218" s="13" t="str">
        <f t="shared" ca="1" si="62"/>
        <v>No_Action</v>
      </c>
      <c r="O218" s="13" t="str">
        <f t="shared" ca="1" si="63"/>
        <v>No_Action</v>
      </c>
      <c r="P218" s="13" t="str">
        <f t="shared" ca="1" si="64"/>
        <v>No_Action</v>
      </c>
      <c r="Q218" s="13" t="str">
        <f t="shared" ca="1" si="65"/>
        <v>No_Action</v>
      </c>
      <c r="R218" s="15"/>
      <c r="S218" s="15" t="str">
        <f t="shared" ca="1" si="66"/>
        <v>NoNo</v>
      </c>
      <c r="T218" s="15"/>
      <c r="U218" s="15">
        <f t="shared" ca="1" si="67"/>
        <v>0</v>
      </c>
      <c r="V218" s="15">
        <f t="shared" ca="1" si="68"/>
        <v>0</v>
      </c>
      <c r="W218" s="15" t="str">
        <f t="shared" ca="1" si="69"/>
        <v>No_Action</v>
      </c>
      <c r="X218" s="15"/>
      <c r="Y218" s="15" t="str">
        <f t="shared" ca="1" si="70"/>
        <v>No_Action</v>
      </c>
      <c r="Z218" s="15">
        <f t="shared" ca="1" si="71"/>
        <v>0</v>
      </c>
      <c r="AA218" s="15">
        <f t="shared" ca="1" si="72"/>
        <v>0</v>
      </c>
      <c r="AB218" s="15"/>
      <c r="AC218" s="15" t="str">
        <f t="shared" ca="1" si="73"/>
        <v>NoNo</v>
      </c>
      <c r="AD218" s="15"/>
      <c r="AE218" s="15">
        <f t="shared" ca="1" si="74"/>
        <v>0</v>
      </c>
      <c r="AF218" s="16">
        <f t="shared" ca="1" si="75"/>
        <v>0</v>
      </c>
      <c r="AG218" s="16" t="str">
        <f t="shared" ca="1" si="76"/>
        <v>No_Action</v>
      </c>
      <c r="AH218" s="15"/>
      <c r="AI218" s="15" t="str">
        <f t="shared" ca="1" si="77"/>
        <v>No_Action</v>
      </c>
      <c r="AJ218" s="15">
        <f t="shared" ca="1" si="78"/>
        <v>0</v>
      </c>
      <c r="AK218" s="15">
        <f t="shared" ca="1" si="79"/>
        <v>0</v>
      </c>
    </row>
    <row r="219" spans="1:37" ht="14.5" customHeight="1" x14ac:dyDescent="0.35">
      <c r="A219" s="12" t="s">
        <v>235</v>
      </c>
      <c r="B219" s="13">
        <f ca="1">IFERROR(__xludf.DUMMYFUNCTION("GOOGLEFINANCE(""NSE:""&amp;A219,""PRICE"")"),132433.6)</f>
        <v>132433.60000000001</v>
      </c>
      <c r="C219" s="13">
        <f ca="1">IFERROR(__xludf.DUMMYFUNCTION("GOOGLEFINANCE(""NSE:""&amp;A219,""PRICEOPEN"")"),131240)</f>
        <v>131240</v>
      </c>
      <c r="D219" s="13">
        <f ca="1">IFERROR(__xludf.DUMMYFUNCTION("GOOGLEFINANCE(""NSE:""&amp;A219,""HIGH"")"),133172.5)</f>
        <v>133172.5</v>
      </c>
      <c r="E219" s="13">
        <f ca="1">IFERROR(__xludf.DUMMYFUNCTION("GOOGLEFINANCE(""NSE:""&amp;A219,""LOW"")"),130800.55)</f>
        <v>130800.55</v>
      </c>
      <c r="F219" s="13">
        <f ca="1">IFERROR(__xludf.DUMMYFUNCTION("GOOGLEFINANCE(""NSE:""&amp;A219,""closeyest"")"),130635.55)</f>
        <v>130635.55</v>
      </c>
      <c r="G219" s="14">
        <f t="shared" ca="1" si="60"/>
        <v>9.0128184992328674E-3</v>
      </c>
      <c r="H219" s="13">
        <f ca="1">IFERROR(__xludf.DUMMYFUNCTION("GOOGLEFINANCE(""NSE:""&amp;A219,""VOLUME"")"),7413)</f>
        <v>7413</v>
      </c>
      <c r="I219" s="13" t="str">
        <f ca="1">IFERROR(__xludf.DUMMYFUNCTION("AVERAGE(index(GOOGLEFINANCE(""NSE:""&amp;$A219, ""volume"", today()-21, today()-1), , 2))"),"#N/A")</f>
        <v>#N/A</v>
      </c>
      <c r="J219" s="14" t="e">
        <f t="shared" ca="1" si="61"/>
        <v>#VALUE!</v>
      </c>
      <c r="K219" s="13" t="str">
        <f ca="1">IFERROR(__xludf.DUMMYFUNCTION("AVERAGE(index(GOOGLEFINANCE(""NSE:""&amp;$A219, ""close"", today()-6, today()-1), , 2))"),"#N/A")</f>
        <v>#N/A</v>
      </c>
      <c r="L219" s="13" t="str">
        <f ca="1">IFERROR(__xludf.DUMMYFUNCTION("AVERAGE(index(GOOGLEFINANCE(""NSE:""&amp;$A219, ""close"", today()-14, today()-1), , 2))"),"#N/A")</f>
        <v>#N/A</v>
      </c>
      <c r="M219" s="13" t="str">
        <f ca="1">IFERROR(__xludf.DUMMYFUNCTION("AVERAGE(index(GOOGLEFINANCE(""NSE:""&amp;$A219, ""close"", today()-22, today()-1), , 2))"),"#N/A")</f>
        <v>#N/A</v>
      </c>
      <c r="N219" s="13" t="str">
        <f t="shared" ca="1" si="62"/>
        <v>No_Action</v>
      </c>
      <c r="O219" s="13" t="str">
        <f t="shared" ca="1" si="63"/>
        <v>No_Action</v>
      </c>
      <c r="P219" s="13" t="str">
        <f t="shared" ca="1" si="64"/>
        <v>No_Action</v>
      </c>
      <c r="Q219" s="13" t="str">
        <f t="shared" ca="1" si="65"/>
        <v>No_Action</v>
      </c>
      <c r="R219" s="15"/>
      <c r="S219" s="15" t="str">
        <f t="shared" ca="1" si="66"/>
        <v>NoNo</v>
      </c>
      <c r="T219" s="15"/>
      <c r="U219" s="15">
        <f t="shared" ca="1" si="67"/>
        <v>0</v>
      </c>
      <c r="V219" s="15">
        <f t="shared" ca="1" si="68"/>
        <v>0</v>
      </c>
      <c r="W219" s="15" t="str">
        <f t="shared" ca="1" si="69"/>
        <v>No_Action</v>
      </c>
      <c r="X219" s="15"/>
      <c r="Y219" s="15" t="str">
        <f t="shared" ca="1" si="70"/>
        <v>No_Action</v>
      </c>
      <c r="Z219" s="15">
        <f t="shared" ca="1" si="71"/>
        <v>0</v>
      </c>
      <c r="AA219" s="15">
        <f t="shared" ca="1" si="72"/>
        <v>0</v>
      </c>
      <c r="AB219" s="15"/>
      <c r="AC219" s="15" t="str">
        <f t="shared" ca="1" si="73"/>
        <v>NoNo</v>
      </c>
      <c r="AD219" s="15"/>
      <c r="AE219" s="15">
        <f t="shared" ca="1" si="74"/>
        <v>0</v>
      </c>
      <c r="AF219" s="16">
        <f t="shared" ca="1" si="75"/>
        <v>0</v>
      </c>
      <c r="AG219" s="16" t="str">
        <f t="shared" ca="1" si="76"/>
        <v>No_Action</v>
      </c>
      <c r="AH219" s="15"/>
      <c r="AI219" s="15" t="str">
        <f t="shared" ca="1" si="77"/>
        <v>No_Action</v>
      </c>
      <c r="AJ219" s="15">
        <f t="shared" ca="1" si="78"/>
        <v>0</v>
      </c>
      <c r="AK219" s="15">
        <f t="shared" ca="1" si="79"/>
        <v>0</v>
      </c>
    </row>
    <row r="220" spans="1:37" ht="14.5" customHeight="1" x14ac:dyDescent="0.35">
      <c r="A220" s="12" t="s">
        <v>236</v>
      </c>
      <c r="B220" s="13">
        <f ca="1">IFERROR(__xludf.DUMMYFUNCTION("GOOGLEFINANCE(""NSE:""&amp;A220,""PRICE"")"),787.9)</f>
        <v>787.9</v>
      </c>
      <c r="C220" s="13">
        <f ca="1">IFERROR(__xludf.DUMMYFUNCTION("GOOGLEFINANCE(""NSE:""&amp;A220,""PRICEOPEN"")"),791.95)</f>
        <v>791.95</v>
      </c>
      <c r="D220" s="13">
        <f ca="1">IFERROR(__xludf.DUMMYFUNCTION("GOOGLEFINANCE(""NSE:""&amp;A220,""HIGH"")"),809.75)</f>
        <v>809.75</v>
      </c>
      <c r="E220" s="13">
        <f ca="1">IFERROR(__xludf.DUMMYFUNCTION("GOOGLEFINANCE(""NSE:""&amp;A220,""LOW"")"),786)</f>
        <v>786</v>
      </c>
      <c r="F220" s="13">
        <f ca="1">IFERROR(__xludf.DUMMYFUNCTION("GOOGLEFINANCE(""NSE:""&amp;A220,""closeyest"")"),780.8)</f>
        <v>780.8</v>
      </c>
      <c r="G220" s="14">
        <f t="shared" ca="1" si="60"/>
        <v>-5.1402462241402058E-3</v>
      </c>
      <c r="H220" s="13">
        <f ca="1">IFERROR(__xludf.DUMMYFUNCTION("GOOGLEFINANCE(""NSE:""&amp;A220,""VOLUME"")"),721495)</f>
        <v>721495</v>
      </c>
      <c r="I220" s="13" t="str">
        <f ca="1">IFERROR(__xludf.DUMMYFUNCTION("AVERAGE(index(GOOGLEFINANCE(""NSE:""&amp;$A220, ""volume"", today()-21, today()-1), , 2))"),"#N/A")</f>
        <v>#N/A</v>
      </c>
      <c r="J220" s="14" t="e">
        <f t="shared" ca="1" si="61"/>
        <v>#VALUE!</v>
      </c>
      <c r="K220" s="13" t="str">
        <f ca="1">IFERROR(__xludf.DUMMYFUNCTION("AVERAGE(index(GOOGLEFINANCE(""NSE:""&amp;$A220, ""close"", today()-6, today()-1), , 2))"),"#N/A")</f>
        <v>#N/A</v>
      </c>
      <c r="L220" s="13" t="str">
        <f ca="1">IFERROR(__xludf.DUMMYFUNCTION("AVERAGE(index(GOOGLEFINANCE(""NSE:""&amp;$A220, ""close"", today()-14, today()-1), , 2))"),"#N/A")</f>
        <v>#N/A</v>
      </c>
      <c r="M220" s="13" t="str">
        <f ca="1">IFERROR(__xludf.DUMMYFUNCTION("AVERAGE(index(GOOGLEFINANCE(""NSE:""&amp;$A220, ""close"", today()-22, today()-1), , 2))"),"#N/A")</f>
        <v>#N/A</v>
      </c>
      <c r="N220" s="13" t="str">
        <f t="shared" ca="1" si="62"/>
        <v>No_Action</v>
      </c>
      <c r="O220" s="13" t="str">
        <f t="shared" ca="1" si="63"/>
        <v>No_Action</v>
      </c>
      <c r="P220" s="13" t="str">
        <f t="shared" ca="1" si="64"/>
        <v>No_Action</v>
      </c>
      <c r="Q220" s="13" t="str">
        <f t="shared" ca="1" si="65"/>
        <v>No_Action</v>
      </c>
      <c r="R220" s="15"/>
      <c r="S220" s="15" t="str">
        <f t="shared" ca="1" si="66"/>
        <v>NoNo</v>
      </c>
      <c r="T220" s="15"/>
      <c r="U220" s="15">
        <f t="shared" ca="1" si="67"/>
        <v>0</v>
      </c>
      <c r="V220" s="15">
        <f t="shared" ca="1" si="68"/>
        <v>0</v>
      </c>
      <c r="W220" s="15" t="str">
        <f t="shared" ca="1" si="69"/>
        <v>No_Action</v>
      </c>
      <c r="X220" s="15"/>
      <c r="Y220" s="15" t="str">
        <f t="shared" ca="1" si="70"/>
        <v>No_Action</v>
      </c>
      <c r="Z220" s="15">
        <f t="shared" ca="1" si="71"/>
        <v>0</v>
      </c>
      <c r="AA220" s="15">
        <f t="shared" ca="1" si="72"/>
        <v>0</v>
      </c>
      <c r="AB220" s="15"/>
      <c r="AC220" s="15" t="str">
        <f t="shared" ca="1" si="73"/>
        <v>NoNo</v>
      </c>
      <c r="AD220" s="15"/>
      <c r="AE220" s="15">
        <f t="shared" ca="1" si="74"/>
        <v>0</v>
      </c>
      <c r="AF220" s="16">
        <f t="shared" ca="1" si="75"/>
        <v>0</v>
      </c>
      <c r="AG220" s="16" t="str">
        <f t="shared" ca="1" si="76"/>
        <v>No_Action</v>
      </c>
      <c r="AH220" s="15"/>
      <c r="AI220" s="15" t="str">
        <f t="shared" ca="1" si="77"/>
        <v>No_Action</v>
      </c>
      <c r="AJ220" s="15">
        <f t="shared" ca="1" si="78"/>
        <v>0</v>
      </c>
      <c r="AK220" s="15">
        <f t="shared" ca="1" si="79"/>
        <v>0</v>
      </c>
    </row>
    <row r="221" spans="1:37" ht="14.5" customHeight="1" x14ac:dyDescent="0.35">
      <c r="A221" s="12" t="s">
        <v>237</v>
      </c>
      <c r="B221" s="13">
        <f ca="1">IFERROR(__xludf.DUMMYFUNCTION("GOOGLEFINANCE(""NSE:""&amp;A221,""PRICE"")"),1990.2)</f>
        <v>1990.2</v>
      </c>
      <c r="C221" s="13">
        <f ca="1">IFERROR(__xludf.DUMMYFUNCTION("GOOGLEFINANCE(""NSE:""&amp;A221,""PRICEOPEN"")"),1939.95)</f>
        <v>1939.95</v>
      </c>
      <c r="D221" s="13">
        <f ca="1">IFERROR(__xludf.DUMMYFUNCTION("GOOGLEFINANCE(""NSE:""&amp;A221,""HIGH"")"),2000.15)</f>
        <v>2000.15</v>
      </c>
      <c r="E221" s="13">
        <f ca="1">IFERROR(__xludf.DUMMYFUNCTION("GOOGLEFINANCE(""NSE:""&amp;A221,""LOW"")"),1936)</f>
        <v>1936</v>
      </c>
      <c r="F221" s="13">
        <f ca="1">IFERROR(__xludf.DUMMYFUNCTION("GOOGLEFINANCE(""NSE:""&amp;A221,""closeyest"")"),1951.55)</f>
        <v>1951.55</v>
      </c>
      <c r="G221" s="14">
        <f t="shared" ca="1" si="60"/>
        <v>2.5248718721736507E-2</v>
      </c>
      <c r="H221" s="13">
        <f ca="1">IFERROR(__xludf.DUMMYFUNCTION("GOOGLEFINANCE(""NSE:""&amp;A221,""VOLUME"")"),1030309)</f>
        <v>1030309</v>
      </c>
      <c r="I221" s="13" t="str">
        <f ca="1">IFERROR(__xludf.DUMMYFUNCTION("AVERAGE(index(GOOGLEFINANCE(""NSE:""&amp;$A221, ""volume"", today()-21, today()-1), , 2))"),"#N/A")</f>
        <v>#N/A</v>
      </c>
      <c r="J221" s="14" t="e">
        <f t="shared" ca="1" si="61"/>
        <v>#VALUE!</v>
      </c>
      <c r="K221" s="13" t="str">
        <f ca="1">IFERROR(__xludf.DUMMYFUNCTION("AVERAGE(index(GOOGLEFINANCE(""NSE:""&amp;$A221, ""close"", today()-6, today()-1), , 2))"),"#N/A")</f>
        <v>#N/A</v>
      </c>
      <c r="L221" s="13" t="str">
        <f ca="1">IFERROR(__xludf.DUMMYFUNCTION("AVERAGE(index(GOOGLEFINANCE(""NSE:""&amp;$A221, ""close"", today()-14, today()-1), , 2))"),"#N/A")</f>
        <v>#N/A</v>
      </c>
      <c r="M221" s="13" t="str">
        <f ca="1">IFERROR(__xludf.DUMMYFUNCTION("AVERAGE(index(GOOGLEFINANCE(""NSE:""&amp;$A221, ""close"", today()-22, today()-1), , 2))"),"#N/A")</f>
        <v>#N/A</v>
      </c>
      <c r="N221" s="13" t="str">
        <f t="shared" ca="1" si="62"/>
        <v>No_Action</v>
      </c>
      <c r="O221" s="13" t="str">
        <f t="shared" ca="1" si="63"/>
        <v>No_Action</v>
      </c>
      <c r="P221" s="13" t="str">
        <f t="shared" ca="1" si="64"/>
        <v>No_Action</v>
      </c>
      <c r="Q221" s="13" t="str">
        <f t="shared" ca="1" si="65"/>
        <v>No_Action</v>
      </c>
      <c r="R221" s="15"/>
      <c r="S221" s="15" t="str">
        <f t="shared" ca="1" si="66"/>
        <v>NoNo</v>
      </c>
      <c r="T221" s="15"/>
      <c r="U221" s="15">
        <f t="shared" ca="1" si="67"/>
        <v>0</v>
      </c>
      <c r="V221" s="15">
        <f t="shared" ca="1" si="68"/>
        <v>0</v>
      </c>
      <c r="W221" s="15" t="str">
        <f t="shared" ca="1" si="69"/>
        <v>No_Action</v>
      </c>
      <c r="X221" s="15"/>
      <c r="Y221" s="15" t="str">
        <f t="shared" ca="1" si="70"/>
        <v>No_Action</v>
      </c>
      <c r="Z221" s="15">
        <f t="shared" ca="1" si="71"/>
        <v>0</v>
      </c>
      <c r="AA221" s="15">
        <f t="shared" ca="1" si="72"/>
        <v>0</v>
      </c>
      <c r="AB221" s="15"/>
      <c r="AC221" s="15" t="str">
        <f t="shared" ca="1" si="73"/>
        <v>NoNo</v>
      </c>
      <c r="AD221" s="15"/>
      <c r="AE221" s="15">
        <f t="shared" ca="1" si="74"/>
        <v>0</v>
      </c>
      <c r="AF221" s="16">
        <f t="shared" ca="1" si="75"/>
        <v>0</v>
      </c>
      <c r="AG221" s="16" t="str">
        <f t="shared" ca="1" si="76"/>
        <v>No_Action</v>
      </c>
      <c r="AH221" s="15"/>
      <c r="AI221" s="15" t="str">
        <f t="shared" ca="1" si="77"/>
        <v>No_Action</v>
      </c>
      <c r="AJ221" s="15">
        <f t="shared" ca="1" si="78"/>
        <v>0</v>
      </c>
      <c r="AK221" s="15">
        <f t="shared" ca="1" si="79"/>
        <v>0</v>
      </c>
    </row>
    <row r="222" spans="1:37" ht="14.5" customHeight="1" x14ac:dyDescent="0.35">
      <c r="A222" s="12" t="s">
        <v>238</v>
      </c>
      <c r="B222" s="13">
        <f ca="1">IFERROR(__xludf.DUMMYFUNCTION("GOOGLEFINANCE(""NSE:""&amp;A222,""PRICE"")"),1326.85)</f>
        <v>1326.85</v>
      </c>
      <c r="C222" s="13">
        <f ca="1">IFERROR(__xludf.DUMMYFUNCTION("GOOGLEFINANCE(""NSE:""&amp;A222,""PRICEOPEN"")"),1344)</f>
        <v>1344</v>
      </c>
      <c r="D222" s="13">
        <f ca="1">IFERROR(__xludf.DUMMYFUNCTION("GOOGLEFINANCE(""NSE:""&amp;A222,""HIGH"")"),1347.15)</f>
        <v>1347.15</v>
      </c>
      <c r="E222" s="13">
        <f ca="1">IFERROR(__xludf.DUMMYFUNCTION("GOOGLEFINANCE(""NSE:""&amp;A222,""LOW"")"),1320.8)</f>
        <v>1320.8</v>
      </c>
      <c r="F222" s="13">
        <f ca="1">IFERROR(__xludf.DUMMYFUNCTION("GOOGLEFINANCE(""NSE:""&amp;A222,""closeyest"")"),1339.8)</f>
        <v>1339.8</v>
      </c>
      <c r="G222" s="14">
        <f t="shared" ca="1" si="60"/>
        <v>-1.2925349512002179E-2</v>
      </c>
      <c r="H222" s="13">
        <f ca="1">IFERROR(__xludf.DUMMYFUNCTION("GOOGLEFINANCE(""NSE:""&amp;A222,""VOLUME"")"),254611)</f>
        <v>254611</v>
      </c>
      <c r="I222" s="13" t="str">
        <f ca="1">IFERROR(__xludf.DUMMYFUNCTION("AVERAGE(index(GOOGLEFINANCE(""NSE:""&amp;$A222, ""volume"", today()-21, today()-1), , 2))"),"#N/A")</f>
        <v>#N/A</v>
      </c>
      <c r="J222" s="14" t="e">
        <f t="shared" ca="1" si="61"/>
        <v>#VALUE!</v>
      </c>
      <c r="K222" s="13" t="str">
        <f ca="1">IFERROR(__xludf.DUMMYFUNCTION("AVERAGE(index(GOOGLEFINANCE(""NSE:""&amp;$A222, ""close"", today()-6, today()-1), , 2))"),"#N/A")</f>
        <v>#N/A</v>
      </c>
      <c r="L222" s="13" t="str">
        <f ca="1">IFERROR(__xludf.DUMMYFUNCTION("AVERAGE(index(GOOGLEFINANCE(""NSE:""&amp;$A222, ""close"", today()-14, today()-1), , 2))"),"#N/A")</f>
        <v>#N/A</v>
      </c>
      <c r="M222" s="13" t="str">
        <f ca="1">IFERROR(__xludf.DUMMYFUNCTION("AVERAGE(index(GOOGLEFINANCE(""NSE:""&amp;$A222, ""close"", today()-22, today()-1), , 2))"),"#N/A")</f>
        <v>#N/A</v>
      </c>
      <c r="N222" s="13" t="str">
        <f t="shared" ca="1" si="62"/>
        <v>No_Action</v>
      </c>
      <c r="O222" s="13" t="str">
        <f t="shared" ca="1" si="63"/>
        <v>No_Action</v>
      </c>
      <c r="P222" s="13" t="str">
        <f t="shared" ca="1" si="64"/>
        <v>No_Action</v>
      </c>
      <c r="Q222" s="13" t="str">
        <f t="shared" ca="1" si="65"/>
        <v>No_Action</v>
      </c>
      <c r="R222" s="15"/>
      <c r="S222" s="15" t="str">
        <f t="shared" ca="1" si="66"/>
        <v>NoNo</v>
      </c>
      <c r="T222" s="15"/>
      <c r="U222" s="15">
        <f t="shared" ca="1" si="67"/>
        <v>0</v>
      </c>
      <c r="V222" s="15">
        <f t="shared" ca="1" si="68"/>
        <v>0</v>
      </c>
      <c r="W222" s="15" t="str">
        <f t="shared" ca="1" si="69"/>
        <v>No_Action</v>
      </c>
      <c r="X222" s="15"/>
      <c r="Y222" s="15" t="str">
        <f t="shared" ca="1" si="70"/>
        <v>No_Action</v>
      </c>
      <c r="Z222" s="15">
        <f t="shared" ca="1" si="71"/>
        <v>0</v>
      </c>
      <c r="AA222" s="15">
        <f t="shared" ca="1" si="72"/>
        <v>0</v>
      </c>
      <c r="AB222" s="15"/>
      <c r="AC222" s="15" t="str">
        <f t="shared" ca="1" si="73"/>
        <v>NoNo</v>
      </c>
      <c r="AD222" s="15"/>
      <c r="AE222" s="15">
        <f t="shared" ca="1" si="74"/>
        <v>0</v>
      </c>
      <c r="AF222" s="16">
        <f t="shared" ca="1" si="75"/>
        <v>0</v>
      </c>
      <c r="AG222" s="16" t="str">
        <f t="shared" ca="1" si="76"/>
        <v>No_Action</v>
      </c>
      <c r="AH222" s="15"/>
      <c r="AI222" s="15" t="str">
        <f t="shared" ca="1" si="77"/>
        <v>No_Action</v>
      </c>
      <c r="AJ222" s="15">
        <f t="shared" ca="1" si="78"/>
        <v>0</v>
      </c>
      <c r="AK222" s="15">
        <f t="shared" ca="1" si="79"/>
        <v>0</v>
      </c>
    </row>
    <row r="223" spans="1:37" ht="14.5" customHeight="1" x14ac:dyDescent="0.35">
      <c r="A223" s="12" t="s">
        <v>239</v>
      </c>
      <c r="B223" s="13">
        <f ca="1">IFERROR(__xludf.DUMMYFUNCTION("GOOGLEFINANCE(""NSE:""&amp;A223,""PRICE"")"),1483.6)</f>
        <v>1483.6</v>
      </c>
      <c r="C223" s="13">
        <f ca="1">IFERROR(__xludf.DUMMYFUNCTION("GOOGLEFINANCE(""NSE:""&amp;A223,""PRICEOPEN"")"),1460)</f>
        <v>1460</v>
      </c>
      <c r="D223" s="13">
        <f ca="1">IFERROR(__xludf.DUMMYFUNCTION("GOOGLEFINANCE(""NSE:""&amp;A223,""HIGH"")"),1490)</f>
        <v>1490</v>
      </c>
      <c r="E223" s="13">
        <f ca="1">IFERROR(__xludf.DUMMYFUNCTION("GOOGLEFINANCE(""NSE:""&amp;A223,""LOW"")"),1453.05)</f>
        <v>1453.05</v>
      </c>
      <c r="F223" s="13">
        <f ca="1">IFERROR(__xludf.DUMMYFUNCTION("GOOGLEFINANCE(""NSE:""&amp;A223,""closeyest"")"),1449.9)</f>
        <v>1449.9</v>
      </c>
      <c r="G223" s="14">
        <f t="shared" ca="1" si="60"/>
        <v>1.5907252628740841E-2</v>
      </c>
      <c r="H223" s="13">
        <f ca="1">IFERROR(__xludf.DUMMYFUNCTION("GOOGLEFINANCE(""NSE:""&amp;A223,""VOLUME"")"),943239)</f>
        <v>943239</v>
      </c>
      <c r="I223" s="13" t="str">
        <f ca="1">IFERROR(__xludf.DUMMYFUNCTION("AVERAGE(index(GOOGLEFINANCE(""NSE:""&amp;$A223, ""volume"", today()-21, today()-1), , 2))"),"#N/A")</f>
        <v>#N/A</v>
      </c>
      <c r="J223" s="14" t="e">
        <f t="shared" ca="1" si="61"/>
        <v>#VALUE!</v>
      </c>
      <c r="K223" s="13" t="str">
        <f ca="1">IFERROR(__xludf.DUMMYFUNCTION("AVERAGE(index(GOOGLEFINANCE(""NSE:""&amp;$A223, ""close"", today()-6, today()-1), , 2))"),"#N/A")</f>
        <v>#N/A</v>
      </c>
      <c r="L223" s="13" t="str">
        <f ca="1">IFERROR(__xludf.DUMMYFUNCTION("AVERAGE(index(GOOGLEFINANCE(""NSE:""&amp;$A223, ""close"", today()-14, today()-1), , 2))"),"#N/A")</f>
        <v>#N/A</v>
      </c>
      <c r="M223" s="13" t="str">
        <f ca="1">IFERROR(__xludf.DUMMYFUNCTION("AVERAGE(index(GOOGLEFINANCE(""NSE:""&amp;$A223, ""close"", today()-22, today()-1), , 2))"),"#N/A")</f>
        <v>#N/A</v>
      </c>
      <c r="N223" s="13" t="str">
        <f t="shared" ca="1" si="62"/>
        <v>No_Action</v>
      </c>
      <c r="O223" s="13" t="str">
        <f t="shared" ca="1" si="63"/>
        <v>No_Action</v>
      </c>
      <c r="P223" s="13" t="str">
        <f t="shared" ca="1" si="64"/>
        <v>No_Action</v>
      </c>
      <c r="Q223" s="13" t="str">
        <f t="shared" ca="1" si="65"/>
        <v>No_Action</v>
      </c>
      <c r="R223" s="15"/>
      <c r="S223" s="15" t="str">
        <f t="shared" ca="1" si="66"/>
        <v>NoNo</v>
      </c>
      <c r="T223" s="15"/>
      <c r="U223" s="15">
        <f t="shared" ca="1" si="67"/>
        <v>0</v>
      </c>
      <c r="V223" s="15">
        <f t="shared" ca="1" si="68"/>
        <v>0</v>
      </c>
      <c r="W223" s="15" t="str">
        <f t="shared" ca="1" si="69"/>
        <v>No_Action</v>
      </c>
      <c r="X223" s="15"/>
      <c r="Y223" s="15" t="str">
        <f t="shared" ca="1" si="70"/>
        <v>No_Action</v>
      </c>
      <c r="Z223" s="15">
        <f t="shared" ca="1" si="71"/>
        <v>0</v>
      </c>
      <c r="AA223" s="15">
        <f t="shared" ca="1" si="72"/>
        <v>0</v>
      </c>
      <c r="AB223" s="15"/>
      <c r="AC223" s="15" t="str">
        <f t="shared" ca="1" si="73"/>
        <v>NoNo</v>
      </c>
      <c r="AD223" s="15"/>
      <c r="AE223" s="15">
        <f t="shared" ca="1" si="74"/>
        <v>0</v>
      </c>
      <c r="AF223" s="16">
        <f t="shared" ca="1" si="75"/>
        <v>0</v>
      </c>
      <c r="AG223" s="16" t="str">
        <f t="shared" ca="1" si="76"/>
        <v>No_Action</v>
      </c>
      <c r="AH223" s="15"/>
      <c r="AI223" s="15" t="str">
        <f t="shared" ca="1" si="77"/>
        <v>No_Action</v>
      </c>
      <c r="AJ223" s="15">
        <f t="shared" ca="1" si="78"/>
        <v>0</v>
      </c>
      <c r="AK223" s="15">
        <f t="shared" ca="1" si="79"/>
        <v>0</v>
      </c>
    </row>
    <row r="224" spans="1:37" ht="14.5" customHeight="1" x14ac:dyDescent="0.35">
      <c r="A224" s="12" t="s">
        <v>240</v>
      </c>
      <c r="B224" s="13">
        <f ca="1">IFERROR(__xludf.DUMMYFUNCTION("GOOGLEFINANCE(""NSE:""&amp;A224,""PRICE"")"),252)</f>
        <v>252</v>
      </c>
      <c r="C224" s="13">
        <f ca="1">IFERROR(__xludf.DUMMYFUNCTION("GOOGLEFINANCE(""NSE:""&amp;A224,""PRICEOPEN"")"),249)</f>
        <v>249</v>
      </c>
      <c r="D224" s="13">
        <f ca="1">IFERROR(__xludf.DUMMYFUNCTION("GOOGLEFINANCE(""NSE:""&amp;A224,""HIGH"")"),252.2)</f>
        <v>252.2</v>
      </c>
      <c r="E224" s="13">
        <f ca="1">IFERROR(__xludf.DUMMYFUNCTION("GOOGLEFINANCE(""NSE:""&amp;A224,""LOW"")"),244.88)</f>
        <v>244.88</v>
      </c>
      <c r="F224" s="13">
        <f ca="1">IFERROR(__xludf.DUMMYFUNCTION("GOOGLEFINANCE(""NSE:""&amp;A224,""closeyest"")"),248.26)</f>
        <v>248.26</v>
      </c>
      <c r="G224" s="14">
        <f t="shared" ca="1" si="60"/>
        <v>1.1904761904761904E-2</v>
      </c>
      <c r="H224" s="13">
        <f ca="1">IFERROR(__xludf.DUMMYFUNCTION("GOOGLEFINANCE(""NSE:""&amp;A224,""VOLUME"")"),13361475)</f>
        <v>13361475</v>
      </c>
      <c r="I224" s="13" t="str">
        <f ca="1">IFERROR(__xludf.DUMMYFUNCTION("AVERAGE(index(GOOGLEFINANCE(""NSE:""&amp;$A224, ""volume"", today()-21, today()-1), , 2))"),"#N/A")</f>
        <v>#N/A</v>
      </c>
      <c r="J224" s="14" t="e">
        <f t="shared" ca="1" si="61"/>
        <v>#VALUE!</v>
      </c>
      <c r="K224" s="13" t="str">
        <f ca="1">IFERROR(__xludf.DUMMYFUNCTION("AVERAGE(index(GOOGLEFINANCE(""NSE:""&amp;$A224, ""close"", today()-6, today()-1), , 2))"),"#N/A")</f>
        <v>#N/A</v>
      </c>
      <c r="L224" s="13" t="str">
        <f ca="1">IFERROR(__xludf.DUMMYFUNCTION("AVERAGE(index(GOOGLEFINANCE(""NSE:""&amp;$A224, ""close"", today()-14, today()-1), , 2))"),"#N/A")</f>
        <v>#N/A</v>
      </c>
      <c r="M224" s="13" t="str">
        <f ca="1">IFERROR(__xludf.DUMMYFUNCTION("AVERAGE(index(GOOGLEFINANCE(""NSE:""&amp;$A224, ""close"", today()-22, today()-1), , 2))"),"#N/A")</f>
        <v>#N/A</v>
      </c>
      <c r="N224" s="13" t="str">
        <f t="shared" ca="1" si="62"/>
        <v>No_Action</v>
      </c>
      <c r="O224" s="13" t="str">
        <f t="shared" ca="1" si="63"/>
        <v>No_Action</v>
      </c>
      <c r="P224" s="13" t="str">
        <f t="shared" ca="1" si="64"/>
        <v>No_Action</v>
      </c>
      <c r="Q224" s="13" t="str">
        <f t="shared" ca="1" si="65"/>
        <v>No_Action</v>
      </c>
      <c r="R224" s="15"/>
      <c r="S224" s="15" t="str">
        <f t="shared" ca="1" si="66"/>
        <v>NoNo</v>
      </c>
      <c r="T224" s="15"/>
      <c r="U224" s="15">
        <f t="shared" ca="1" si="67"/>
        <v>0</v>
      </c>
      <c r="V224" s="15">
        <f t="shared" ca="1" si="68"/>
        <v>0</v>
      </c>
      <c r="W224" s="15" t="str">
        <f t="shared" ca="1" si="69"/>
        <v>No_Action</v>
      </c>
      <c r="X224" s="15"/>
      <c r="Y224" s="15" t="str">
        <f t="shared" ca="1" si="70"/>
        <v>No_Action</v>
      </c>
      <c r="Z224" s="15">
        <f t="shared" ca="1" si="71"/>
        <v>0</v>
      </c>
      <c r="AA224" s="15">
        <f t="shared" ca="1" si="72"/>
        <v>0</v>
      </c>
      <c r="AB224" s="15"/>
      <c r="AC224" s="15" t="str">
        <f t="shared" ca="1" si="73"/>
        <v>NoNo</v>
      </c>
      <c r="AD224" s="15"/>
      <c r="AE224" s="15">
        <f t="shared" ca="1" si="74"/>
        <v>0</v>
      </c>
      <c r="AF224" s="16">
        <f t="shared" ca="1" si="75"/>
        <v>0</v>
      </c>
      <c r="AG224" s="16" t="str">
        <f t="shared" ca="1" si="76"/>
        <v>No_Action</v>
      </c>
      <c r="AH224" s="15"/>
      <c r="AI224" s="15" t="str">
        <f t="shared" ca="1" si="77"/>
        <v>No_Action</v>
      </c>
      <c r="AJ224" s="15">
        <f t="shared" ca="1" si="78"/>
        <v>0</v>
      </c>
      <c r="AK224" s="15">
        <f t="shared" ca="1" si="79"/>
        <v>0</v>
      </c>
    </row>
    <row r="225" spans="1:37" ht="14.5" customHeight="1" x14ac:dyDescent="0.35">
      <c r="A225" s="12" t="s">
        <v>241</v>
      </c>
      <c r="B225" s="13">
        <f ca="1">IFERROR(__xludf.DUMMYFUNCTION("GOOGLEFINANCE(""NSE:""&amp;A225,""PRICE"")"),1045.6)</f>
        <v>1045.5999999999999</v>
      </c>
      <c r="C225" s="13">
        <f ca="1">IFERROR(__xludf.DUMMYFUNCTION("GOOGLEFINANCE(""NSE:""&amp;A225,""PRICEOPEN"")"),1040)</f>
        <v>1040</v>
      </c>
      <c r="D225" s="13">
        <f ca="1">IFERROR(__xludf.DUMMYFUNCTION("GOOGLEFINANCE(""NSE:""&amp;A225,""HIGH"")"),1070)</f>
        <v>1070</v>
      </c>
      <c r="E225" s="13">
        <f ca="1">IFERROR(__xludf.DUMMYFUNCTION("GOOGLEFINANCE(""NSE:""&amp;A225,""LOW"")"),1010.05)</f>
        <v>1010.05</v>
      </c>
      <c r="F225" s="13">
        <f ca="1">IFERROR(__xludf.DUMMYFUNCTION("GOOGLEFINANCE(""NSE:""&amp;A225,""closeyest"")"),1039.5)</f>
        <v>1039.5</v>
      </c>
      <c r="G225" s="14">
        <f t="shared" ca="1" si="60"/>
        <v>5.3557765876051161E-3</v>
      </c>
      <c r="H225" s="13">
        <f ca="1">IFERROR(__xludf.DUMMYFUNCTION("GOOGLEFINANCE(""NSE:""&amp;A225,""VOLUME"")"),239813)</f>
        <v>239813</v>
      </c>
      <c r="I225" s="13" t="str">
        <f ca="1">IFERROR(__xludf.DUMMYFUNCTION("AVERAGE(index(GOOGLEFINANCE(""NSE:""&amp;$A225, ""volume"", today()-21, today()-1), , 2))"),"#N/A")</f>
        <v>#N/A</v>
      </c>
      <c r="J225" s="14" t="e">
        <f t="shared" ca="1" si="61"/>
        <v>#VALUE!</v>
      </c>
      <c r="K225" s="13" t="str">
        <f ca="1">IFERROR(__xludf.DUMMYFUNCTION("AVERAGE(index(GOOGLEFINANCE(""NSE:""&amp;$A225, ""close"", today()-6, today()-1), , 2))"),"#N/A")</f>
        <v>#N/A</v>
      </c>
      <c r="L225" s="13" t="str">
        <f ca="1">IFERROR(__xludf.DUMMYFUNCTION("AVERAGE(index(GOOGLEFINANCE(""NSE:""&amp;$A225, ""close"", today()-14, today()-1), , 2))"),"#N/A")</f>
        <v>#N/A</v>
      </c>
      <c r="M225" s="13" t="str">
        <f ca="1">IFERROR(__xludf.DUMMYFUNCTION("AVERAGE(index(GOOGLEFINANCE(""NSE:""&amp;$A225, ""close"", today()-22, today()-1), , 2))"),"#N/A")</f>
        <v>#N/A</v>
      </c>
      <c r="N225" s="13" t="str">
        <f t="shared" ca="1" si="62"/>
        <v>No_Action</v>
      </c>
      <c r="O225" s="13" t="str">
        <f t="shared" ca="1" si="63"/>
        <v>No_Action</v>
      </c>
      <c r="P225" s="13" t="str">
        <f t="shared" ca="1" si="64"/>
        <v>No_Action</v>
      </c>
      <c r="Q225" s="13" t="str">
        <f t="shared" ca="1" si="65"/>
        <v>No_Action</v>
      </c>
      <c r="R225" s="15"/>
      <c r="S225" s="15" t="str">
        <f t="shared" ca="1" si="66"/>
        <v>NoNo</v>
      </c>
      <c r="T225" s="15"/>
      <c r="U225" s="15">
        <f t="shared" ca="1" si="67"/>
        <v>0</v>
      </c>
      <c r="V225" s="15">
        <f t="shared" ca="1" si="68"/>
        <v>0</v>
      </c>
      <c r="W225" s="15" t="str">
        <f t="shared" ca="1" si="69"/>
        <v>No_Action</v>
      </c>
      <c r="X225" s="15"/>
      <c r="Y225" s="15" t="str">
        <f t="shared" ca="1" si="70"/>
        <v>No_Action</v>
      </c>
      <c r="Z225" s="15">
        <f t="shared" ca="1" si="71"/>
        <v>0</v>
      </c>
      <c r="AA225" s="15">
        <f t="shared" ca="1" si="72"/>
        <v>0</v>
      </c>
      <c r="AB225" s="15"/>
      <c r="AC225" s="15" t="str">
        <f t="shared" ca="1" si="73"/>
        <v>NoNo</v>
      </c>
      <c r="AD225" s="15"/>
      <c r="AE225" s="15">
        <f t="shared" ca="1" si="74"/>
        <v>0</v>
      </c>
      <c r="AF225" s="16">
        <f t="shared" ca="1" si="75"/>
        <v>0</v>
      </c>
      <c r="AG225" s="16" t="str">
        <f t="shared" ca="1" si="76"/>
        <v>No_Action</v>
      </c>
      <c r="AH225" s="15"/>
      <c r="AI225" s="15" t="str">
        <f t="shared" ca="1" si="77"/>
        <v>No_Action</v>
      </c>
      <c r="AJ225" s="15">
        <f t="shared" ca="1" si="78"/>
        <v>0</v>
      </c>
      <c r="AK225" s="15">
        <f t="shared" ca="1" si="79"/>
        <v>0</v>
      </c>
    </row>
    <row r="226" spans="1:37" ht="14.5" customHeight="1" x14ac:dyDescent="0.35">
      <c r="A226" s="12" t="s">
        <v>242</v>
      </c>
      <c r="B226" s="13">
        <f ca="1">IFERROR(__xludf.DUMMYFUNCTION("GOOGLEFINANCE(""NSE:""&amp;A226,""PRICE"")"),149)</f>
        <v>149</v>
      </c>
      <c r="C226" s="13">
        <f ca="1">IFERROR(__xludf.DUMMYFUNCTION("GOOGLEFINANCE(""NSE:""&amp;A226,""PRICEOPEN"")"),148)</f>
        <v>148</v>
      </c>
      <c r="D226" s="13">
        <f ca="1">IFERROR(__xludf.DUMMYFUNCTION("GOOGLEFINANCE(""NSE:""&amp;A226,""HIGH"")"),149.85)</f>
        <v>149.85</v>
      </c>
      <c r="E226" s="13">
        <f ca="1">IFERROR(__xludf.DUMMYFUNCTION("GOOGLEFINANCE(""NSE:""&amp;A226,""LOW"")"),145)</f>
        <v>145</v>
      </c>
      <c r="F226" s="13">
        <f ca="1">IFERROR(__xludf.DUMMYFUNCTION("GOOGLEFINANCE(""NSE:""&amp;A226,""closeyest"")"),146.54)</f>
        <v>146.54</v>
      </c>
      <c r="G226" s="14">
        <f t="shared" ca="1" si="60"/>
        <v>6.7114093959731542E-3</v>
      </c>
      <c r="H226" s="13">
        <f ca="1">IFERROR(__xludf.DUMMYFUNCTION("GOOGLEFINANCE(""NSE:""&amp;A226,""VOLUME"")"),308471)</f>
        <v>308471</v>
      </c>
      <c r="I226" s="13" t="str">
        <f ca="1">IFERROR(__xludf.DUMMYFUNCTION("AVERAGE(index(GOOGLEFINANCE(""NSE:""&amp;$A226, ""volume"", today()-21, today()-1), , 2))"),"#N/A")</f>
        <v>#N/A</v>
      </c>
      <c r="J226" s="14" t="e">
        <f t="shared" ca="1" si="61"/>
        <v>#VALUE!</v>
      </c>
      <c r="K226" s="13" t="str">
        <f ca="1">IFERROR(__xludf.DUMMYFUNCTION("AVERAGE(index(GOOGLEFINANCE(""NSE:""&amp;$A226, ""close"", today()-6, today()-1), , 2))"),"#N/A")</f>
        <v>#N/A</v>
      </c>
      <c r="L226" s="13" t="str">
        <f ca="1">IFERROR(__xludf.DUMMYFUNCTION("AVERAGE(index(GOOGLEFINANCE(""NSE:""&amp;$A226, ""close"", today()-14, today()-1), , 2))"),"#N/A")</f>
        <v>#N/A</v>
      </c>
      <c r="M226" s="13" t="str">
        <f ca="1">IFERROR(__xludf.DUMMYFUNCTION("AVERAGE(index(GOOGLEFINANCE(""NSE:""&amp;$A226, ""close"", today()-22, today()-1), , 2))"),"#N/A")</f>
        <v>#N/A</v>
      </c>
      <c r="N226" s="13" t="str">
        <f t="shared" ca="1" si="62"/>
        <v>No_Action</v>
      </c>
      <c r="O226" s="13" t="str">
        <f t="shared" ca="1" si="63"/>
        <v>No_Action</v>
      </c>
      <c r="P226" s="13" t="str">
        <f t="shared" ca="1" si="64"/>
        <v>No_Action</v>
      </c>
      <c r="Q226" s="13" t="str">
        <f t="shared" ca="1" si="65"/>
        <v>No_Action</v>
      </c>
      <c r="R226" s="15"/>
      <c r="S226" s="15" t="str">
        <f t="shared" ca="1" si="66"/>
        <v>NoNo</v>
      </c>
      <c r="T226" s="15"/>
      <c r="U226" s="15">
        <f t="shared" ca="1" si="67"/>
        <v>0</v>
      </c>
      <c r="V226" s="15">
        <f t="shared" ca="1" si="68"/>
        <v>0</v>
      </c>
      <c r="W226" s="15" t="str">
        <f t="shared" ca="1" si="69"/>
        <v>No_Action</v>
      </c>
      <c r="X226" s="15"/>
      <c r="Y226" s="15" t="str">
        <f t="shared" ca="1" si="70"/>
        <v>No_Action</v>
      </c>
      <c r="Z226" s="15">
        <f t="shared" ca="1" si="71"/>
        <v>0</v>
      </c>
      <c r="AA226" s="15">
        <f t="shared" ca="1" si="72"/>
        <v>0</v>
      </c>
      <c r="AB226" s="15"/>
      <c r="AC226" s="15" t="str">
        <f t="shared" ca="1" si="73"/>
        <v>NoNo</v>
      </c>
      <c r="AD226" s="15"/>
      <c r="AE226" s="15">
        <f t="shared" ca="1" si="74"/>
        <v>0</v>
      </c>
      <c r="AF226" s="16">
        <f t="shared" ca="1" si="75"/>
        <v>0</v>
      </c>
      <c r="AG226" s="16" t="str">
        <f t="shared" ca="1" si="76"/>
        <v>No_Action</v>
      </c>
      <c r="AH226" s="15"/>
      <c r="AI226" s="15" t="str">
        <f t="shared" ca="1" si="77"/>
        <v>No_Action</v>
      </c>
      <c r="AJ226" s="15">
        <f t="shared" ca="1" si="78"/>
        <v>0</v>
      </c>
      <c r="AK226" s="15">
        <f t="shared" ca="1" si="79"/>
        <v>0</v>
      </c>
    </row>
    <row r="227" spans="1:37" ht="14.5" customHeight="1" x14ac:dyDescent="0.35">
      <c r="A227" s="12" t="s">
        <v>243</v>
      </c>
      <c r="B227" s="13">
        <f ca="1">IFERROR(__xludf.DUMMYFUNCTION("GOOGLEFINANCE(""NSE:""&amp;A227,""PRICE"")"),313)</f>
        <v>313</v>
      </c>
      <c r="C227" s="13">
        <f ca="1">IFERROR(__xludf.DUMMYFUNCTION("GOOGLEFINANCE(""NSE:""&amp;A227,""PRICEOPEN"")"),315.7)</f>
        <v>315.7</v>
      </c>
      <c r="D227" s="13">
        <f ca="1">IFERROR(__xludf.DUMMYFUNCTION("GOOGLEFINANCE(""NSE:""&amp;A227,""HIGH"")"),317.25)</f>
        <v>317.25</v>
      </c>
      <c r="E227" s="13">
        <f ca="1">IFERROR(__xludf.DUMMYFUNCTION("GOOGLEFINANCE(""NSE:""&amp;A227,""LOW"")"),312.35)</f>
        <v>312.35000000000002</v>
      </c>
      <c r="F227" s="13">
        <f ca="1">IFERROR(__xludf.DUMMYFUNCTION("GOOGLEFINANCE(""NSE:""&amp;A227,""closeyest"")"),314.1)</f>
        <v>314.10000000000002</v>
      </c>
      <c r="G227" s="14">
        <f t="shared" ca="1" si="60"/>
        <v>-8.6261980830670566E-3</v>
      </c>
      <c r="H227" s="13">
        <f ca="1">IFERROR(__xludf.DUMMYFUNCTION("GOOGLEFINANCE(""NSE:""&amp;A227,""VOLUME"")"),2122892)</f>
        <v>2122892</v>
      </c>
      <c r="I227" s="13" t="str">
        <f ca="1">IFERROR(__xludf.DUMMYFUNCTION("AVERAGE(index(GOOGLEFINANCE(""NSE:""&amp;$A227, ""volume"", today()-21, today()-1), , 2))"),"#N/A")</f>
        <v>#N/A</v>
      </c>
      <c r="J227" s="14" t="e">
        <f t="shared" ca="1" si="61"/>
        <v>#VALUE!</v>
      </c>
      <c r="K227" s="13" t="str">
        <f ca="1">IFERROR(__xludf.DUMMYFUNCTION("AVERAGE(index(GOOGLEFINANCE(""NSE:""&amp;$A227, ""close"", today()-6, today()-1), , 2))"),"#N/A")</f>
        <v>#N/A</v>
      </c>
      <c r="L227" s="13" t="str">
        <f ca="1">IFERROR(__xludf.DUMMYFUNCTION("AVERAGE(index(GOOGLEFINANCE(""NSE:""&amp;$A227, ""close"", today()-14, today()-1), , 2))"),"#N/A")</f>
        <v>#N/A</v>
      </c>
      <c r="M227" s="13" t="str">
        <f ca="1">IFERROR(__xludf.DUMMYFUNCTION("AVERAGE(index(GOOGLEFINANCE(""NSE:""&amp;$A227, ""close"", today()-22, today()-1), , 2))"),"#N/A")</f>
        <v>#N/A</v>
      </c>
      <c r="N227" s="13" t="str">
        <f t="shared" ca="1" si="62"/>
        <v>No_Action</v>
      </c>
      <c r="O227" s="13" t="str">
        <f t="shared" ca="1" si="63"/>
        <v>No_Action</v>
      </c>
      <c r="P227" s="13" t="str">
        <f t="shared" ca="1" si="64"/>
        <v>No_Action</v>
      </c>
      <c r="Q227" s="13" t="str">
        <f t="shared" ca="1" si="65"/>
        <v>No_Action</v>
      </c>
      <c r="R227" s="15"/>
      <c r="S227" s="15" t="str">
        <f t="shared" ca="1" si="66"/>
        <v>NoNo</v>
      </c>
      <c r="T227" s="15"/>
      <c r="U227" s="15">
        <f t="shared" ca="1" si="67"/>
        <v>0</v>
      </c>
      <c r="V227" s="15">
        <f t="shared" ca="1" si="68"/>
        <v>0</v>
      </c>
      <c r="W227" s="15" t="str">
        <f t="shared" ca="1" si="69"/>
        <v>No_Action</v>
      </c>
      <c r="X227" s="15"/>
      <c r="Y227" s="15" t="str">
        <f t="shared" ca="1" si="70"/>
        <v>No_Action</v>
      </c>
      <c r="Z227" s="15">
        <f t="shared" ca="1" si="71"/>
        <v>0</v>
      </c>
      <c r="AA227" s="15">
        <f t="shared" ca="1" si="72"/>
        <v>0</v>
      </c>
      <c r="AB227" s="15"/>
      <c r="AC227" s="15" t="str">
        <f t="shared" ca="1" si="73"/>
        <v>NoNo</v>
      </c>
      <c r="AD227" s="15"/>
      <c r="AE227" s="15">
        <f t="shared" ca="1" si="74"/>
        <v>0</v>
      </c>
      <c r="AF227" s="16">
        <f t="shared" ca="1" si="75"/>
        <v>0</v>
      </c>
      <c r="AG227" s="16" t="str">
        <f t="shared" ca="1" si="76"/>
        <v>No_Action</v>
      </c>
      <c r="AH227" s="15"/>
      <c r="AI227" s="15" t="str">
        <f t="shared" ca="1" si="77"/>
        <v>No_Action</v>
      </c>
      <c r="AJ227" s="15">
        <f t="shared" ca="1" si="78"/>
        <v>0</v>
      </c>
      <c r="AK227" s="15">
        <f t="shared" ca="1" si="79"/>
        <v>0</v>
      </c>
    </row>
    <row r="228" spans="1:37" ht="14.5" customHeight="1" x14ac:dyDescent="0.35">
      <c r="A228" s="12" t="s">
        <v>244</v>
      </c>
      <c r="B228" s="13">
        <f ca="1">IFERROR(__xludf.DUMMYFUNCTION("GOOGLEFINANCE(""NSE:""&amp;A228,""PRICE"")"),1327.05)</f>
        <v>1327.05</v>
      </c>
      <c r="C228" s="13">
        <f ca="1">IFERROR(__xludf.DUMMYFUNCTION("GOOGLEFINANCE(""NSE:""&amp;A228,""PRICEOPEN"")"),1280.3)</f>
        <v>1280.3</v>
      </c>
      <c r="D228" s="13">
        <f ca="1">IFERROR(__xludf.DUMMYFUNCTION("GOOGLEFINANCE(""NSE:""&amp;A228,""HIGH"")"),1364.95)</f>
        <v>1364.95</v>
      </c>
      <c r="E228" s="13">
        <f ca="1">IFERROR(__xludf.DUMMYFUNCTION("GOOGLEFINANCE(""NSE:""&amp;A228,""LOW"")"),1274.7)</f>
        <v>1274.7</v>
      </c>
      <c r="F228" s="13">
        <f ca="1">IFERROR(__xludf.DUMMYFUNCTION("GOOGLEFINANCE(""NSE:""&amp;A228,""closeyest"")"),1270.15)</f>
        <v>1270.1500000000001</v>
      </c>
      <c r="G228" s="14">
        <f t="shared" ca="1" si="60"/>
        <v>3.522851437398742E-2</v>
      </c>
      <c r="H228" s="13">
        <f ca="1">IFERROR(__xludf.DUMMYFUNCTION("GOOGLEFINANCE(""NSE:""&amp;A228,""VOLUME"")"),465038)</f>
        <v>465038</v>
      </c>
      <c r="I228" s="13" t="str">
        <f ca="1">IFERROR(__xludf.DUMMYFUNCTION("AVERAGE(index(GOOGLEFINANCE(""NSE:""&amp;$A228, ""volume"", today()-21, today()-1), , 2))"),"#N/A")</f>
        <v>#N/A</v>
      </c>
      <c r="J228" s="14" t="e">
        <f t="shared" ca="1" si="61"/>
        <v>#VALUE!</v>
      </c>
      <c r="K228" s="13" t="str">
        <f ca="1">IFERROR(__xludf.DUMMYFUNCTION("AVERAGE(index(GOOGLEFINANCE(""NSE:""&amp;$A228, ""close"", today()-6, today()-1), , 2))"),"#N/A")</f>
        <v>#N/A</v>
      </c>
      <c r="L228" s="13" t="str">
        <f ca="1">IFERROR(__xludf.DUMMYFUNCTION("AVERAGE(index(GOOGLEFINANCE(""NSE:""&amp;$A228, ""close"", today()-14, today()-1), , 2))"),"#N/A")</f>
        <v>#N/A</v>
      </c>
      <c r="M228" s="13" t="str">
        <f ca="1">IFERROR(__xludf.DUMMYFUNCTION("AVERAGE(index(GOOGLEFINANCE(""NSE:""&amp;$A228, ""close"", today()-22, today()-1), , 2))"),"#N/A")</f>
        <v>#N/A</v>
      </c>
      <c r="N228" s="13" t="str">
        <f t="shared" ca="1" si="62"/>
        <v>No_Action</v>
      </c>
      <c r="O228" s="13" t="str">
        <f t="shared" ca="1" si="63"/>
        <v>No_Action</v>
      </c>
      <c r="P228" s="13" t="str">
        <f t="shared" ca="1" si="64"/>
        <v>No_Action</v>
      </c>
      <c r="Q228" s="13" t="str">
        <f t="shared" ca="1" si="65"/>
        <v>No_Action</v>
      </c>
      <c r="R228" s="15"/>
      <c r="S228" s="15" t="str">
        <f t="shared" ca="1" si="66"/>
        <v>NoNo</v>
      </c>
      <c r="T228" s="15"/>
      <c r="U228" s="15">
        <f t="shared" ca="1" si="67"/>
        <v>0</v>
      </c>
      <c r="V228" s="15">
        <f t="shared" ca="1" si="68"/>
        <v>0</v>
      </c>
      <c r="W228" s="15" t="str">
        <f t="shared" ca="1" si="69"/>
        <v>No_Action</v>
      </c>
      <c r="X228" s="15"/>
      <c r="Y228" s="15" t="str">
        <f t="shared" ca="1" si="70"/>
        <v>No_Action</v>
      </c>
      <c r="Z228" s="15">
        <f t="shared" ca="1" si="71"/>
        <v>0</v>
      </c>
      <c r="AA228" s="15">
        <f t="shared" ca="1" si="72"/>
        <v>0</v>
      </c>
      <c r="AB228" s="15"/>
      <c r="AC228" s="15" t="str">
        <f t="shared" ca="1" si="73"/>
        <v>NoNo</v>
      </c>
      <c r="AD228" s="15"/>
      <c r="AE228" s="15">
        <f t="shared" ca="1" si="74"/>
        <v>0</v>
      </c>
      <c r="AF228" s="16">
        <f t="shared" ca="1" si="75"/>
        <v>0</v>
      </c>
      <c r="AG228" s="16" t="str">
        <f t="shared" ca="1" si="76"/>
        <v>No_Action</v>
      </c>
      <c r="AH228" s="15"/>
      <c r="AI228" s="15" t="str">
        <f t="shared" ca="1" si="77"/>
        <v>No_Action</v>
      </c>
      <c r="AJ228" s="15">
        <f t="shared" ca="1" si="78"/>
        <v>0</v>
      </c>
      <c r="AK228" s="15">
        <f t="shared" ca="1" si="79"/>
        <v>0</v>
      </c>
    </row>
    <row r="229" spans="1:37" ht="14.5" customHeight="1" x14ac:dyDescent="0.35">
      <c r="A229" s="12" t="s">
        <v>245</v>
      </c>
      <c r="B229" s="13">
        <f ca="1">IFERROR(__xludf.DUMMYFUNCTION("GOOGLEFINANCE(""NSE:""&amp;A229,""PRICE"")"),1050.9)</f>
        <v>1050.9000000000001</v>
      </c>
      <c r="C229" s="13">
        <f ca="1">IFERROR(__xludf.DUMMYFUNCTION("GOOGLEFINANCE(""NSE:""&amp;A229,""PRICEOPEN"")"),1046)</f>
        <v>1046</v>
      </c>
      <c r="D229" s="13">
        <f ca="1">IFERROR(__xludf.DUMMYFUNCTION("GOOGLEFINANCE(""NSE:""&amp;A229,""HIGH"")"),1070)</f>
        <v>1070</v>
      </c>
      <c r="E229" s="13">
        <f ca="1">IFERROR(__xludf.DUMMYFUNCTION("GOOGLEFINANCE(""NSE:""&amp;A229,""LOW"")"),1038.75)</f>
        <v>1038.75</v>
      </c>
      <c r="F229" s="13">
        <f ca="1">IFERROR(__xludf.DUMMYFUNCTION("GOOGLEFINANCE(""NSE:""&amp;A229,""closeyest"")"),1040.25)</f>
        <v>1040.25</v>
      </c>
      <c r="G229" s="14">
        <f t="shared" ca="1" si="60"/>
        <v>4.6626700923019229E-3</v>
      </c>
      <c r="H229" s="13">
        <f ca="1">IFERROR(__xludf.DUMMYFUNCTION("GOOGLEFINANCE(""NSE:""&amp;A229,""VOLUME"")"),75152)</f>
        <v>75152</v>
      </c>
      <c r="I229" s="13" t="str">
        <f ca="1">IFERROR(__xludf.DUMMYFUNCTION("AVERAGE(index(GOOGLEFINANCE(""NSE:""&amp;$A229, ""volume"", today()-21, today()-1), , 2))"),"#N/A")</f>
        <v>#N/A</v>
      </c>
      <c r="J229" s="14" t="e">
        <f t="shared" ca="1" si="61"/>
        <v>#VALUE!</v>
      </c>
      <c r="K229" s="13" t="str">
        <f ca="1">IFERROR(__xludf.DUMMYFUNCTION("AVERAGE(index(GOOGLEFINANCE(""NSE:""&amp;$A229, ""close"", today()-6, today()-1), , 2))"),"#N/A")</f>
        <v>#N/A</v>
      </c>
      <c r="L229" s="13" t="str">
        <f ca="1">IFERROR(__xludf.DUMMYFUNCTION("AVERAGE(index(GOOGLEFINANCE(""NSE:""&amp;$A229, ""close"", today()-14, today()-1), , 2))"),"#N/A")</f>
        <v>#N/A</v>
      </c>
      <c r="M229" s="13" t="str">
        <f ca="1">IFERROR(__xludf.DUMMYFUNCTION("AVERAGE(index(GOOGLEFINANCE(""NSE:""&amp;$A229, ""close"", today()-22, today()-1), , 2))"),"#N/A")</f>
        <v>#N/A</v>
      </c>
      <c r="N229" s="13" t="str">
        <f t="shared" ca="1" si="62"/>
        <v>No_Action</v>
      </c>
      <c r="O229" s="13" t="str">
        <f t="shared" ca="1" si="63"/>
        <v>No_Action</v>
      </c>
      <c r="P229" s="13" t="str">
        <f t="shared" ca="1" si="64"/>
        <v>No_Action</v>
      </c>
      <c r="Q229" s="13" t="str">
        <f t="shared" ca="1" si="65"/>
        <v>No_Action</v>
      </c>
      <c r="R229" s="15"/>
      <c r="S229" s="15" t="str">
        <f t="shared" ca="1" si="66"/>
        <v>NoNo</v>
      </c>
      <c r="T229" s="15"/>
      <c r="U229" s="15">
        <f t="shared" ca="1" si="67"/>
        <v>0</v>
      </c>
      <c r="V229" s="15">
        <f t="shared" ca="1" si="68"/>
        <v>0</v>
      </c>
      <c r="W229" s="15" t="str">
        <f t="shared" ca="1" si="69"/>
        <v>No_Action</v>
      </c>
      <c r="X229" s="15"/>
      <c r="Y229" s="15" t="str">
        <f t="shared" ca="1" si="70"/>
        <v>No_Action</v>
      </c>
      <c r="Z229" s="15">
        <f t="shared" ca="1" si="71"/>
        <v>0</v>
      </c>
      <c r="AA229" s="15">
        <f t="shared" ca="1" si="72"/>
        <v>0</v>
      </c>
      <c r="AB229" s="15"/>
      <c r="AC229" s="15" t="str">
        <f t="shared" ca="1" si="73"/>
        <v>NoNo</v>
      </c>
      <c r="AD229" s="15"/>
      <c r="AE229" s="15">
        <f t="shared" ca="1" si="74"/>
        <v>0</v>
      </c>
      <c r="AF229" s="16">
        <f t="shared" ca="1" si="75"/>
        <v>0</v>
      </c>
      <c r="AG229" s="16" t="str">
        <f t="shared" ca="1" si="76"/>
        <v>No_Action</v>
      </c>
      <c r="AH229" s="15"/>
      <c r="AI229" s="15" t="str">
        <f t="shared" ca="1" si="77"/>
        <v>No_Action</v>
      </c>
      <c r="AJ229" s="15">
        <f t="shared" ca="1" si="78"/>
        <v>0</v>
      </c>
      <c r="AK229" s="15">
        <f t="shared" ca="1" si="79"/>
        <v>0</v>
      </c>
    </row>
    <row r="230" spans="1:37" ht="14.5" customHeight="1" x14ac:dyDescent="0.35">
      <c r="A230" s="12" t="s">
        <v>246</v>
      </c>
      <c r="B230" s="13">
        <f ca="1">IFERROR(__xludf.DUMMYFUNCTION("GOOGLEFINANCE(""NSE:""&amp;A230,""PRICE"")"),17075.05)</f>
        <v>17075.05</v>
      </c>
      <c r="C230" s="13">
        <f ca="1">IFERROR(__xludf.DUMMYFUNCTION("GOOGLEFINANCE(""NSE:""&amp;A230,""PRICEOPEN"")"),17300)</f>
        <v>17300</v>
      </c>
      <c r="D230" s="13">
        <f ca="1">IFERROR(__xludf.DUMMYFUNCTION("GOOGLEFINANCE(""NSE:""&amp;A230,""HIGH"")"),17379.95)</f>
        <v>17379.95</v>
      </c>
      <c r="E230" s="13">
        <f ca="1">IFERROR(__xludf.DUMMYFUNCTION("GOOGLEFINANCE(""NSE:""&amp;A230,""LOW"")"),15399.25)</f>
        <v>15399.25</v>
      </c>
      <c r="F230" s="13">
        <f ca="1">IFERROR(__xludf.DUMMYFUNCTION("GOOGLEFINANCE(""NSE:""&amp;A230,""closeyest"")"),17596)</f>
        <v>17596</v>
      </c>
      <c r="G230" s="14">
        <f t="shared" ca="1" si="60"/>
        <v>-1.317419275492609E-2</v>
      </c>
      <c r="H230" s="13">
        <f ca="1">IFERROR(__xludf.DUMMYFUNCTION("GOOGLEFINANCE(""NSE:""&amp;A230,""VOLUME"")"),131619)</f>
        <v>131619</v>
      </c>
      <c r="I230" s="13" t="str">
        <f ca="1">IFERROR(__xludf.DUMMYFUNCTION("AVERAGE(index(GOOGLEFINANCE(""NSE:""&amp;$A230, ""volume"", today()-21, today()-1), , 2))"),"#N/A")</f>
        <v>#N/A</v>
      </c>
      <c r="J230" s="14" t="e">
        <f t="shared" ca="1" si="61"/>
        <v>#VALUE!</v>
      </c>
      <c r="K230" s="13" t="str">
        <f ca="1">IFERROR(__xludf.DUMMYFUNCTION("AVERAGE(index(GOOGLEFINANCE(""NSE:""&amp;$A230, ""close"", today()-6, today()-1), , 2))"),"#N/A")</f>
        <v>#N/A</v>
      </c>
      <c r="L230" s="13" t="str">
        <f ca="1">IFERROR(__xludf.DUMMYFUNCTION("AVERAGE(index(GOOGLEFINANCE(""NSE:""&amp;$A230, ""close"", today()-14, today()-1), , 2))"),"#N/A")</f>
        <v>#N/A</v>
      </c>
      <c r="M230" s="13" t="str">
        <f ca="1">IFERROR(__xludf.DUMMYFUNCTION("AVERAGE(index(GOOGLEFINANCE(""NSE:""&amp;$A230, ""close"", today()-22, today()-1), , 2))"),"#N/A")</f>
        <v>#N/A</v>
      </c>
      <c r="N230" s="13" t="str">
        <f t="shared" ca="1" si="62"/>
        <v>No_Action</v>
      </c>
      <c r="O230" s="13" t="str">
        <f t="shared" ca="1" si="63"/>
        <v>No_Action</v>
      </c>
      <c r="P230" s="13" t="str">
        <f t="shared" ca="1" si="64"/>
        <v>No_Action</v>
      </c>
      <c r="Q230" s="13" t="str">
        <f t="shared" ca="1" si="65"/>
        <v>No_Action</v>
      </c>
      <c r="R230" s="15"/>
      <c r="S230" s="15" t="str">
        <f t="shared" ca="1" si="66"/>
        <v>NoNo</v>
      </c>
      <c r="T230" s="15"/>
      <c r="U230" s="15">
        <f t="shared" ca="1" si="67"/>
        <v>0</v>
      </c>
      <c r="V230" s="15">
        <f t="shared" ca="1" si="68"/>
        <v>0</v>
      </c>
      <c r="W230" s="15" t="str">
        <f t="shared" ca="1" si="69"/>
        <v>No_Action</v>
      </c>
      <c r="X230" s="15"/>
      <c r="Y230" s="15" t="str">
        <f t="shared" ca="1" si="70"/>
        <v>No_Action</v>
      </c>
      <c r="Z230" s="15">
        <f t="shared" ca="1" si="71"/>
        <v>0</v>
      </c>
      <c r="AA230" s="15">
        <f t="shared" ca="1" si="72"/>
        <v>0</v>
      </c>
      <c r="AB230" s="15"/>
      <c r="AC230" s="15" t="str">
        <f t="shared" ca="1" si="73"/>
        <v>NoNo</v>
      </c>
      <c r="AD230" s="15"/>
      <c r="AE230" s="15">
        <f t="shared" ca="1" si="74"/>
        <v>0</v>
      </c>
      <c r="AF230" s="16">
        <f t="shared" ca="1" si="75"/>
        <v>0</v>
      </c>
      <c r="AG230" s="16" t="str">
        <f t="shared" ca="1" si="76"/>
        <v>No_Action</v>
      </c>
      <c r="AH230" s="15"/>
      <c r="AI230" s="15" t="str">
        <f t="shared" ca="1" si="77"/>
        <v>No_Action</v>
      </c>
      <c r="AJ230" s="15">
        <f t="shared" ca="1" si="78"/>
        <v>0</v>
      </c>
      <c r="AK230" s="15">
        <f t="shared" ca="1" si="79"/>
        <v>0</v>
      </c>
    </row>
    <row r="231" spans="1:37" ht="14.5" customHeight="1" x14ac:dyDescent="0.35">
      <c r="A231" s="12" t="s">
        <v>247</v>
      </c>
      <c r="B231" s="13">
        <f ca="1">IFERROR(__xludf.DUMMYFUNCTION("GOOGLEFINANCE(""NSE:""&amp;A231,""PRICE"")"),1846)</f>
        <v>1846</v>
      </c>
      <c r="C231" s="13">
        <f ca="1">IFERROR(__xludf.DUMMYFUNCTION("GOOGLEFINANCE(""NSE:""&amp;A231,""PRICEOPEN"")"),1889.8)</f>
        <v>1889.8</v>
      </c>
      <c r="D231" s="13">
        <f ca="1">IFERROR(__xludf.DUMMYFUNCTION("GOOGLEFINANCE(""NSE:""&amp;A231,""HIGH"")"),1891.85)</f>
        <v>1891.85</v>
      </c>
      <c r="E231" s="13">
        <f ca="1">IFERROR(__xludf.DUMMYFUNCTION("GOOGLEFINANCE(""NSE:""&amp;A231,""LOW"")"),1815.05)</f>
        <v>1815.05</v>
      </c>
      <c r="F231" s="13">
        <f ca="1">IFERROR(__xludf.DUMMYFUNCTION("GOOGLEFINANCE(""NSE:""&amp;A231,""closeyest"")"),1838.65)</f>
        <v>1838.65</v>
      </c>
      <c r="G231" s="14">
        <f t="shared" ca="1" si="60"/>
        <v>-2.3726977248103985E-2</v>
      </c>
      <c r="H231" s="13">
        <f ca="1">IFERROR(__xludf.DUMMYFUNCTION("GOOGLEFINANCE(""NSE:""&amp;A231,""VOLUME"")"),2588)</f>
        <v>2588</v>
      </c>
      <c r="I231" s="13" t="str">
        <f ca="1">IFERROR(__xludf.DUMMYFUNCTION("AVERAGE(index(GOOGLEFINANCE(""NSE:""&amp;$A231, ""volume"", today()-21, today()-1), , 2))"),"#N/A")</f>
        <v>#N/A</v>
      </c>
      <c r="J231" s="14" t="e">
        <f t="shared" ca="1" si="61"/>
        <v>#VALUE!</v>
      </c>
      <c r="K231" s="13" t="str">
        <f ca="1">IFERROR(__xludf.DUMMYFUNCTION("AVERAGE(index(GOOGLEFINANCE(""NSE:""&amp;$A231, ""close"", today()-6, today()-1), , 2))"),"#N/A")</f>
        <v>#N/A</v>
      </c>
      <c r="L231" s="13" t="str">
        <f ca="1">IFERROR(__xludf.DUMMYFUNCTION("AVERAGE(index(GOOGLEFINANCE(""NSE:""&amp;$A231, ""close"", today()-14, today()-1), , 2))"),"#N/A")</f>
        <v>#N/A</v>
      </c>
      <c r="M231" s="13" t="str">
        <f ca="1">IFERROR(__xludf.DUMMYFUNCTION("AVERAGE(index(GOOGLEFINANCE(""NSE:""&amp;$A231, ""close"", today()-22, today()-1), , 2))"),"#N/A")</f>
        <v>#N/A</v>
      </c>
      <c r="N231" s="13" t="str">
        <f t="shared" ca="1" si="62"/>
        <v>No_Action</v>
      </c>
      <c r="O231" s="13" t="str">
        <f t="shared" ca="1" si="63"/>
        <v>No_Action</v>
      </c>
      <c r="P231" s="13" t="str">
        <f t="shared" ca="1" si="64"/>
        <v>No_Action</v>
      </c>
      <c r="Q231" s="13" t="str">
        <f t="shared" ca="1" si="65"/>
        <v>No_Action</v>
      </c>
      <c r="R231" s="15"/>
      <c r="S231" s="15" t="str">
        <f t="shared" ca="1" si="66"/>
        <v>NoNo</v>
      </c>
      <c r="T231" s="15"/>
      <c r="U231" s="15">
        <f t="shared" ca="1" si="67"/>
        <v>0</v>
      </c>
      <c r="V231" s="15">
        <f t="shared" ca="1" si="68"/>
        <v>0</v>
      </c>
      <c r="W231" s="15" t="str">
        <f t="shared" ca="1" si="69"/>
        <v>No_Action</v>
      </c>
      <c r="X231" s="15"/>
      <c r="Y231" s="15" t="str">
        <f t="shared" ca="1" si="70"/>
        <v>No_Action</v>
      </c>
      <c r="Z231" s="15">
        <f t="shared" ca="1" si="71"/>
        <v>0</v>
      </c>
      <c r="AA231" s="15">
        <f t="shared" ca="1" si="72"/>
        <v>0</v>
      </c>
      <c r="AB231" s="15"/>
      <c r="AC231" s="15" t="str">
        <f t="shared" ca="1" si="73"/>
        <v>NoNo</v>
      </c>
      <c r="AD231" s="15"/>
      <c r="AE231" s="15">
        <f t="shared" ca="1" si="74"/>
        <v>0</v>
      </c>
      <c r="AF231" s="16">
        <f t="shared" ca="1" si="75"/>
        <v>0</v>
      </c>
      <c r="AG231" s="16" t="str">
        <f t="shared" ca="1" si="76"/>
        <v>No_Action</v>
      </c>
      <c r="AH231" s="15"/>
      <c r="AI231" s="15" t="str">
        <f t="shared" ca="1" si="77"/>
        <v>No_Action</v>
      </c>
      <c r="AJ231" s="15">
        <f t="shared" ca="1" si="78"/>
        <v>0</v>
      </c>
      <c r="AK231" s="15">
        <f t="shared" ca="1" si="79"/>
        <v>0</v>
      </c>
    </row>
    <row r="232" spans="1:37" ht="14.5" customHeight="1" x14ac:dyDescent="0.35">
      <c r="A232" s="12" t="s">
        <v>248</v>
      </c>
      <c r="B232" s="13">
        <f ca="1">IFERROR(__xludf.DUMMYFUNCTION("GOOGLEFINANCE(""NSE:""&amp;A232,""PRICE"")"),86.75)</f>
        <v>86.75</v>
      </c>
      <c r="C232" s="13">
        <f ca="1">IFERROR(__xludf.DUMMYFUNCTION("GOOGLEFINANCE(""NSE:""&amp;A232,""PRICEOPEN"")"),87)</f>
        <v>87</v>
      </c>
      <c r="D232" s="13">
        <f ca="1">IFERROR(__xludf.DUMMYFUNCTION("GOOGLEFINANCE(""NSE:""&amp;A232,""HIGH"")"),88.79)</f>
        <v>88.79</v>
      </c>
      <c r="E232" s="13">
        <f ca="1">IFERROR(__xludf.DUMMYFUNCTION("GOOGLEFINANCE(""NSE:""&amp;A232,""LOW"")"),86.2)</f>
        <v>86.2</v>
      </c>
      <c r="F232" s="13">
        <f ca="1">IFERROR(__xludf.DUMMYFUNCTION("GOOGLEFINANCE(""NSE:""&amp;A232,""closeyest"")"),84.87)</f>
        <v>84.87</v>
      </c>
      <c r="G232" s="14">
        <f t="shared" ca="1" si="60"/>
        <v>-2.881844380403458E-3</v>
      </c>
      <c r="H232" s="13">
        <f ca="1">IFERROR(__xludf.DUMMYFUNCTION("GOOGLEFINANCE(""NSE:""&amp;A232,""VOLUME"")"),66596997)</f>
        <v>66596997</v>
      </c>
      <c r="I232" s="13" t="str">
        <f ca="1">IFERROR(__xludf.DUMMYFUNCTION("AVERAGE(index(GOOGLEFINANCE(""NSE:""&amp;$A232, ""volume"", today()-21, today()-1), , 2))"),"#N/A")</f>
        <v>#N/A</v>
      </c>
      <c r="J232" s="14" t="e">
        <f t="shared" ca="1" si="61"/>
        <v>#VALUE!</v>
      </c>
      <c r="K232" s="13" t="str">
        <f ca="1">IFERROR(__xludf.DUMMYFUNCTION("AVERAGE(index(GOOGLEFINANCE(""NSE:""&amp;$A232, ""close"", today()-6, today()-1), , 2))"),"#N/A")</f>
        <v>#N/A</v>
      </c>
      <c r="L232" s="13" t="str">
        <f ca="1">IFERROR(__xludf.DUMMYFUNCTION("AVERAGE(index(GOOGLEFINANCE(""NSE:""&amp;$A232, ""close"", today()-14, today()-1), , 2))"),"#N/A")</f>
        <v>#N/A</v>
      </c>
      <c r="M232" s="13" t="str">
        <f ca="1">IFERROR(__xludf.DUMMYFUNCTION("AVERAGE(index(GOOGLEFINANCE(""NSE:""&amp;$A232, ""close"", today()-22, today()-1), , 2))"),"#N/A")</f>
        <v>#N/A</v>
      </c>
      <c r="N232" s="13" t="str">
        <f t="shared" ca="1" si="62"/>
        <v>No_Action</v>
      </c>
      <c r="O232" s="13" t="str">
        <f t="shared" ca="1" si="63"/>
        <v>No_Action</v>
      </c>
      <c r="P232" s="13" t="str">
        <f t="shared" ca="1" si="64"/>
        <v>No_Action</v>
      </c>
      <c r="Q232" s="13" t="str">
        <f t="shared" ca="1" si="65"/>
        <v>No_Action</v>
      </c>
      <c r="R232" s="15"/>
      <c r="S232" s="15" t="str">
        <f t="shared" ca="1" si="66"/>
        <v>NoNo</v>
      </c>
      <c r="T232" s="15"/>
      <c r="U232" s="15">
        <f t="shared" ca="1" si="67"/>
        <v>0</v>
      </c>
      <c r="V232" s="15">
        <f t="shared" ca="1" si="68"/>
        <v>0</v>
      </c>
      <c r="W232" s="15" t="str">
        <f t="shared" ca="1" si="69"/>
        <v>No_Action</v>
      </c>
      <c r="X232" s="15"/>
      <c r="Y232" s="15" t="str">
        <f t="shared" ca="1" si="70"/>
        <v>No_Action</v>
      </c>
      <c r="Z232" s="15">
        <f t="shared" ca="1" si="71"/>
        <v>0</v>
      </c>
      <c r="AA232" s="15">
        <f t="shared" ca="1" si="72"/>
        <v>0</v>
      </c>
      <c r="AB232" s="15"/>
      <c r="AC232" s="15" t="str">
        <f t="shared" ca="1" si="73"/>
        <v>NoNo</v>
      </c>
      <c r="AD232" s="15"/>
      <c r="AE232" s="15">
        <f t="shared" ca="1" si="74"/>
        <v>0</v>
      </c>
      <c r="AF232" s="16">
        <f t="shared" ca="1" si="75"/>
        <v>0</v>
      </c>
      <c r="AG232" s="16" t="str">
        <f t="shared" ca="1" si="76"/>
        <v>No_Action</v>
      </c>
      <c r="AH232" s="15"/>
      <c r="AI232" s="15" t="str">
        <f t="shared" ca="1" si="77"/>
        <v>No_Action</v>
      </c>
      <c r="AJ232" s="15">
        <f t="shared" ca="1" si="78"/>
        <v>0</v>
      </c>
      <c r="AK232" s="15">
        <f t="shared" ca="1" si="79"/>
        <v>0</v>
      </c>
    </row>
    <row r="233" spans="1:37" ht="14.5" customHeight="1" x14ac:dyDescent="0.35">
      <c r="A233" s="12" t="s">
        <v>249</v>
      </c>
      <c r="B233" s="13">
        <f ca="1">IFERROR(__xludf.DUMMYFUNCTION("GOOGLEFINANCE(""NSE:""&amp;A233,""PRICE"")"),734.5)</f>
        <v>734.5</v>
      </c>
      <c r="C233" s="13">
        <f ca="1">IFERROR(__xludf.DUMMYFUNCTION("GOOGLEFINANCE(""NSE:""&amp;A233,""PRICEOPEN"")"),716.25)</f>
        <v>716.25</v>
      </c>
      <c r="D233" s="13">
        <f ca="1">IFERROR(__xludf.DUMMYFUNCTION("GOOGLEFINANCE(""NSE:""&amp;A233,""HIGH"")"),743)</f>
        <v>743</v>
      </c>
      <c r="E233" s="13">
        <f ca="1">IFERROR(__xludf.DUMMYFUNCTION("GOOGLEFINANCE(""NSE:""&amp;A233,""LOW"")"),706.7)</f>
        <v>706.7</v>
      </c>
      <c r="F233" s="13">
        <f ca="1">IFERROR(__xludf.DUMMYFUNCTION("GOOGLEFINANCE(""NSE:""&amp;A233,""closeyest"")"),719.1)</f>
        <v>719.1</v>
      </c>
      <c r="G233" s="14">
        <f t="shared" ca="1" si="60"/>
        <v>2.4846834581347857E-2</v>
      </c>
      <c r="H233" s="13">
        <f ca="1">IFERROR(__xludf.DUMMYFUNCTION("GOOGLEFINANCE(""NSE:""&amp;A233,""VOLUME"")"),1940671)</f>
        <v>1940671</v>
      </c>
      <c r="I233" s="13" t="str">
        <f ca="1">IFERROR(__xludf.DUMMYFUNCTION("AVERAGE(index(GOOGLEFINANCE(""NSE:""&amp;$A233, ""volume"", today()-21, today()-1), , 2))"),"#N/A")</f>
        <v>#N/A</v>
      </c>
      <c r="J233" s="14" t="e">
        <f t="shared" ca="1" si="61"/>
        <v>#VALUE!</v>
      </c>
      <c r="K233" s="13" t="str">
        <f ca="1">IFERROR(__xludf.DUMMYFUNCTION("AVERAGE(index(GOOGLEFINANCE(""NSE:""&amp;$A233, ""close"", today()-6, today()-1), , 2))"),"#N/A")</f>
        <v>#N/A</v>
      </c>
      <c r="L233" s="13" t="str">
        <f ca="1">IFERROR(__xludf.DUMMYFUNCTION("AVERAGE(index(GOOGLEFINANCE(""NSE:""&amp;$A233, ""close"", today()-14, today()-1), , 2))"),"#N/A")</f>
        <v>#N/A</v>
      </c>
      <c r="M233" s="13" t="str">
        <f ca="1">IFERROR(__xludf.DUMMYFUNCTION("AVERAGE(index(GOOGLEFINANCE(""NSE:""&amp;$A233, ""close"", today()-22, today()-1), , 2))"),"#N/A")</f>
        <v>#N/A</v>
      </c>
      <c r="N233" s="13" t="str">
        <f t="shared" ca="1" si="62"/>
        <v>No_Action</v>
      </c>
      <c r="O233" s="13" t="str">
        <f t="shared" ca="1" si="63"/>
        <v>No_Action</v>
      </c>
      <c r="P233" s="13" t="str">
        <f t="shared" ca="1" si="64"/>
        <v>No_Action</v>
      </c>
      <c r="Q233" s="13" t="str">
        <f t="shared" ca="1" si="65"/>
        <v>No_Action</v>
      </c>
      <c r="R233" s="15"/>
      <c r="S233" s="15" t="str">
        <f t="shared" ca="1" si="66"/>
        <v>NoNo</v>
      </c>
      <c r="T233" s="15"/>
      <c r="U233" s="15">
        <f t="shared" ca="1" si="67"/>
        <v>0</v>
      </c>
      <c r="V233" s="15">
        <f t="shared" ca="1" si="68"/>
        <v>0</v>
      </c>
      <c r="W233" s="15" t="str">
        <f t="shared" ca="1" si="69"/>
        <v>No_Action</v>
      </c>
      <c r="X233" s="15"/>
      <c r="Y233" s="15" t="str">
        <f t="shared" ca="1" si="70"/>
        <v>No_Action</v>
      </c>
      <c r="Z233" s="15">
        <f t="shared" ca="1" si="71"/>
        <v>0</v>
      </c>
      <c r="AA233" s="15">
        <f t="shared" ca="1" si="72"/>
        <v>0</v>
      </c>
      <c r="AB233" s="15"/>
      <c r="AC233" s="15" t="str">
        <f t="shared" ca="1" si="73"/>
        <v>NoNo</v>
      </c>
      <c r="AD233" s="15"/>
      <c r="AE233" s="15">
        <f t="shared" ca="1" si="74"/>
        <v>0</v>
      </c>
      <c r="AF233" s="16">
        <f t="shared" ca="1" si="75"/>
        <v>0</v>
      </c>
      <c r="AG233" s="16" t="str">
        <f t="shared" ca="1" si="76"/>
        <v>No_Action</v>
      </c>
      <c r="AH233" s="15"/>
      <c r="AI233" s="15" t="str">
        <f t="shared" ca="1" si="77"/>
        <v>No_Action</v>
      </c>
      <c r="AJ233" s="15">
        <f t="shared" ca="1" si="78"/>
        <v>0</v>
      </c>
      <c r="AK233" s="15">
        <f t="shared" ca="1" si="79"/>
        <v>0</v>
      </c>
    </row>
    <row r="234" spans="1:37" ht="14.5" customHeight="1" x14ac:dyDescent="0.35">
      <c r="A234" s="12" t="s">
        <v>250</v>
      </c>
      <c r="B234" s="13">
        <f ca="1">IFERROR(__xludf.DUMMYFUNCTION("GOOGLEFINANCE(""NSE:""&amp;A234,""PRICE"")"),241.5)</f>
        <v>241.5</v>
      </c>
      <c r="C234" s="13">
        <f ca="1">IFERROR(__xludf.DUMMYFUNCTION("GOOGLEFINANCE(""NSE:""&amp;A234,""PRICEOPEN"")"),239.45)</f>
        <v>239.45</v>
      </c>
      <c r="D234" s="13">
        <f ca="1">IFERROR(__xludf.DUMMYFUNCTION("GOOGLEFINANCE(""NSE:""&amp;A234,""HIGH"")"),242.34)</f>
        <v>242.34</v>
      </c>
      <c r="E234" s="13">
        <f ca="1">IFERROR(__xludf.DUMMYFUNCTION("GOOGLEFINANCE(""NSE:""&amp;A234,""LOW"")"),235.72)</f>
        <v>235.72</v>
      </c>
      <c r="F234" s="13">
        <f ca="1">IFERROR(__xludf.DUMMYFUNCTION("GOOGLEFINANCE(""NSE:""&amp;A234,""closeyest"")"),238.66)</f>
        <v>238.66</v>
      </c>
      <c r="G234" s="14">
        <f t="shared" ca="1" si="60"/>
        <v>8.4886128364389697E-3</v>
      </c>
      <c r="H234" s="13">
        <f ca="1">IFERROR(__xludf.DUMMYFUNCTION("GOOGLEFINANCE(""NSE:""&amp;A234,""VOLUME"")"),13124074)</f>
        <v>13124074</v>
      </c>
      <c r="I234" s="13" t="str">
        <f ca="1">IFERROR(__xludf.DUMMYFUNCTION("AVERAGE(index(GOOGLEFINANCE(""NSE:""&amp;$A234, ""volume"", today()-21, today()-1), , 2))"),"#N/A")</f>
        <v>#N/A</v>
      </c>
      <c r="J234" s="14" t="e">
        <f t="shared" ca="1" si="61"/>
        <v>#VALUE!</v>
      </c>
      <c r="K234" s="13" t="str">
        <f ca="1">IFERROR(__xludf.DUMMYFUNCTION("AVERAGE(index(GOOGLEFINANCE(""NSE:""&amp;$A234, ""close"", today()-6, today()-1), , 2))"),"#N/A")</f>
        <v>#N/A</v>
      </c>
      <c r="L234" s="13" t="str">
        <f ca="1">IFERROR(__xludf.DUMMYFUNCTION("AVERAGE(index(GOOGLEFINANCE(""NSE:""&amp;$A234, ""close"", today()-14, today()-1), , 2))"),"#N/A")</f>
        <v>#N/A</v>
      </c>
      <c r="M234" s="13" t="str">
        <f ca="1">IFERROR(__xludf.DUMMYFUNCTION("AVERAGE(index(GOOGLEFINANCE(""NSE:""&amp;$A234, ""close"", today()-22, today()-1), , 2))"),"#N/A")</f>
        <v>#N/A</v>
      </c>
      <c r="N234" s="13" t="str">
        <f t="shared" ca="1" si="62"/>
        <v>No_Action</v>
      </c>
      <c r="O234" s="13" t="str">
        <f t="shared" ca="1" si="63"/>
        <v>No_Action</v>
      </c>
      <c r="P234" s="13" t="str">
        <f t="shared" ca="1" si="64"/>
        <v>No_Action</v>
      </c>
      <c r="Q234" s="13" t="str">
        <f t="shared" ca="1" si="65"/>
        <v>No_Action</v>
      </c>
      <c r="R234" s="15"/>
      <c r="S234" s="15" t="str">
        <f t="shared" ca="1" si="66"/>
        <v>NoNo</v>
      </c>
      <c r="T234" s="15"/>
      <c r="U234" s="15">
        <f t="shared" ca="1" si="67"/>
        <v>0</v>
      </c>
      <c r="V234" s="15">
        <f t="shared" ca="1" si="68"/>
        <v>0</v>
      </c>
      <c r="W234" s="15" t="str">
        <f t="shared" ca="1" si="69"/>
        <v>No_Action</v>
      </c>
      <c r="X234" s="15"/>
      <c r="Y234" s="15" t="str">
        <f t="shared" ca="1" si="70"/>
        <v>No_Action</v>
      </c>
      <c r="Z234" s="15">
        <f t="shared" ca="1" si="71"/>
        <v>0</v>
      </c>
      <c r="AA234" s="15">
        <f t="shared" ca="1" si="72"/>
        <v>0</v>
      </c>
      <c r="AB234" s="15"/>
      <c r="AC234" s="15" t="str">
        <f t="shared" ca="1" si="73"/>
        <v>NoNo</v>
      </c>
      <c r="AD234" s="15"/>
      <c r="AE234" s="15">
        <f t="shared" ca="1" si="74"/>
        <v>0</v>
      </c>
      <c r="AF234" s="16">
        <f t="shared" ca="1" si="75"/>
        <v>0</v>
      </c>
      <c r="AG234" s="16" t="str">
        <f t="shared" ca="1" si="76"/>
        <v>No_Action</v>
      </c>
      <c r="AH234" s="15"/>
      <c r="AI234" s="15" t="str">
        <f t="shared" ca="1" si="77"/>
        <v>No_Action</v>
      </c>
      <c r="AJ234" s="15">
        <f t="shared" ca="1" si="78"/>
        <v>0</v>
      </c>
      <c r="AK234" s="15">
        <f t="shared" ca="1" si="79"/>
        <v>0</v>
      </c>
    </row>
    <row r="235" spans="1:37" ht="14.5" customHeight="1" x14ac:dyDescent="0.35">
      <c r="A235" s="12" t="s">
        <v>251</v>
      </c>
      <c r="B235" s="13">
        <f ca="1">IFERROR(__xludf.DUMMYFUNCTION("GOOGLEFINANCE(""NSE:""&amp;A235,""PRICE"")"),298)</f>
        <v>298</v>
      </c>
      <c r="C235" s="13">
        <f ca="1">IFERROR(__xludf.DUMMYFUNCTION("GOOGLEFINANCE(""NSE:""&amp;A235,""PRICEOPEN"")"),301.9)</f>
        <v>301.89999999999998</v>
      </c>
      <c r="D235" s="13">
        <f ca="1">IFERROR(__xludf.DUMMYFUNCTION("GOOGLEFINANCE(""NSE:""&amp;A235,""HIGH"")"),304.2)</f>
        <v>304.2</v>
      </c>
      <c r="E235" s="13">
        <f ca="1">IFERROR(__xludf.DUMMYFUNCTION("GOOGLEFINANCE(""NSE:""&amp;A235,""LOW"")"),296.3)</f>
        <v>296.3</v>
      </c>
      <c r="F235" s="13">
        <f ca="1">IFERROR(__xludf.DUMMYFUNCTION("GOOGLEFINANCE(""NSE:""&amp;A235,""closeyest"")"),301.3)</f>
        <v>301.3</v>
      </c>
      <c r="G235" s="14">
        <f t="shared" ca="1" si="60"/>
        <v>-1.3087248322147575E-2</v>
      </c>
      <c r="H235" s="13">
        <f ca="1">IFERROR(__xludf.DUMMYFUNCTION("GOOGLEFINANCE(""NSE:""&amp;A235,""VOLUME"")"),240985)</f>
        <v>240985</v>
      </c>
      <c r="I235" s="13" t="str">
        <f ca="1">IFERROR(__xludf.DUMMYFUNCTION("AVERAGE(index(GOOGLEFINANCE(""NSE:""&amp;$A235, ""volume"", today()-21, today()-1), , 2))"),"#N/A")</f>
        <v>#N/A</v>
      </c>
      <c r="J235" s="14" t="e">
        <f t="shared" ca="1" si="61"/>
        <v>#VALUE!</v>
      </c>
      <c r="K235" s="13" t="str">
        <f ca="1">IFERROR(__xludf.DUMMYFUNCTION("AVERAGE(index(GOOGLEFINANCE(""NSE:""&amp;$A235, ""close"", today()-6, today()-1), , 2))"),"#N/A")</f>
        <v>#N/A</v>
      </c>
      <c r="L235" s="13" t="str">
        <f ca="1">IFERROR(__xludf.DUMMYFUNCTION("AVERAGE(index(GOOGLEFINANCE(""NSE:""&amp;$A235, ""close"", today()-14, today()-1), , 2))"),"#N/A")</f>
        <v>#N/A</v>
      </c>
      <c r="M235" s="13" t="str">
        <f ca="1">IFERROR(__xludf.DUMMYFUNCTION("AVERAGE(index(GOOGLEFINANCE(""NSE:""&amp;$A235, ""close"", today()-22, today()-1), , 2))"),"#N/A")</f>
        <v>#N/A</v>
      </c>
      <c r="N235" s="13" t="str">
        <f t="shared" ca="1" si="62"/>
        <v>No_Action</v>
      </c>
      <c r="O235" s="13" t="str">
        <f t="shared" ca="1" si="63"/>
        <v>No_Action</v>
      </c>
      <c r="P235" s="13" t="str">
        <f t="shared" ca="1" si="64"/>
        <v>No_Action</v>
      </c>
      <c r="Q235" s="13" t="str">
        <f t="shared" ca="1" si="65"/>
        <v>No_Action</v>
      </c>
      <c r="R235" s="15"/>
      <c r="S235" s="15" t="str">
        <f t="shared" ca="1" si="66"/>
        <v>NoNo</v>
      </c>
      <c r="T235" s="15"/>
      <c r="U235" s="15">
        <f t="shared" ca="1" si="67"/>
        <v>0</v>
      </c>
      <c r="V235" s="15">
        <f t="shared" ca="1" si="68"/>
        <v>0</v>
      </c>
      <c r="W235" s="15" t="str">
        <f t="shared" ca="1" si="69"/>
        <v>No_Action</v>
      </c>
      <c r="X235" s="15"/>
      <c r="Y235" s="15" t="str">
        <f t="shared" ca="1" si="70"/>
        <v>No_Action</v>
      </c>
      <c r="Z235" s="15">
        <f t="shared" ca="1" si="71"/>
        <v>0</v>
      </c>
      <c r="AA235" s="15">
        <f t="shared" ca="1" si="72"/>
        <v>0</v>
      </c>
      <c r="AB235" s="15"/>
      <c r="AC235" s="15" t="str">
        <f t="shared" ca="1" si="73"/>
        <v>NoNo</v>
      </c>
      <c r="AD235" s="15"/>
      <c r="AE235" s="15">
        <f t="shared" ca="1" si="74"/>
        <v>0</v>
      </c>
      <c r="AF235" s="16">
        <f t="shared" ca="1" si="75"/>
        <v>0</v>
      </c>
      <c r="AG235" s="16" t="str">
        <f t="shared" ca="1" si="76"/>
        <v>No_Action</v>
      </c>
      <c r="AH235" s="15"/>
      <c r="AI235" s="15" t="str">
        <f t="shared" ca="1" si="77"/>
        <v>No_Action</v>
      </c>
      <c r="AJ235" s="15">
        <f t="shared" ca="1" si="78"/>
        <v>0</v>
      </c>
      <c r="AK235" s="15">
        <f t="shared" ca="1" si="79"/>
        <v>0</v>
      </c>
    </row>
    <row r="236" spans="1:37" ht="14.5" customHeight="1" x14ac:dyDescent="0.35">
      <c r="A236" s="12" t="s">
        <v>252</v>
      </c>
      <c r="B236" s="13">
        <f ca="1">IFERROR(__xludf.DUMMYFUNCTION("GOOGLEFINANCE(""NSE:""&amp;A236,""PRICE"")"),369.45)</f>
        <v>369.45</v>
      </c>
      <c r="C236" s="13">
        <f ca="1">IFERROR(__xludf.DUMMYFUNCTION("GOOGLEFINANCE(""NSE:""&amp;A236,""PRICEOPEN"")"),370.9)</f>
        <v>370.9</v>
      </c>
      <c r="D236" s="13">
        <f ca="1">IFERROR(__xludf.DUMMYFUNCTION("GOOGLEFINANCE(""NSE:""&amp;A236,""HIGH"")"),373.3)</f>
        <v>373.3</v>
      </c>
      <c r="E236" s="13">
        <f ca="1">IFERROR(__xludf.DUMMYFUNCTION("GOOGLEFINANCE(""NSE:""&amp;A236,""LOW"")"),367.75)</f>
        <v>367.75</v>
      </c>
      <c r="F236" s="13">
        <f ca="1">IFERROR(__xludf.DUMMYFUNCTION("GOOGLEFINANCE(""NSE:""&amp;A236,""closeyest"")"),369.5)</f>
        <v>369.5</v>
      </c>
      <c r="G236" s="14">
        <f t="shared" ca="1" si="60"/>
        <v>-3.9247530112328831E-3</v>
      </c>
      <c r="H236" s="13">
        <f ca="1">IFERROR(__xludf.DUMMYFUNCTION("GOOGLEFINANCE(""NSE:""&amp;A236,""VOLUME"")"),10878679)</f>
        <v>10878679</v>
      </c>
      <c r="I236" s="13" t="str">
        <f ca="1">IFERROR(__xludf.DUMMYFUNCTION("AVERAGE(index(GOOGLEFINANCE(""NSE:""&amp;$A236, ""volume"", today()-21, today()-1), , 2))"),"#N/A")</f>
        <v>#N/A</v>
      </c>
      <c r="J236" s="14" t="e">
        <f t="shared" ca="1" si="61"/>
        <v>#VALUE!</v>
      </c>
      <c r="K236" s="13" t="str">
        <f ca="1">IFERROR(__xludf.DUMMYFUNCTION("AVERAGE(index(GOOGLEFINANCE(""NSE:""&amp;$A236, ""close"", today()-6, today()-1), , 2))"),"#N/A")</f>
        <v>#N/A</v>
      </c>
      <c r="L236" s="13" t="str">
        <f ca="1">IFERROR(__xludf.DUMMYFUNCTION("AVERAGE(index(GOOGLEFINANCE(""NSE:""&amp;$A236, ""close"", today()-14, today()-1), , 2))"),"#N/A")</f>
        <v>#N/A</v>
      </c>
      <c r="M236" s="13" t="str">
        <f ca="1">IFERROR(__xludf.DUMMYFUNCTION("AVERAGE(index(GOOGLEFINANCE(""NSE:""&amp;$A236, ""close"", today()-22, today()-1), , 2))"),"#N/A")</f>
        <v>#N/A</v>
      </c>
      <c r="N236" s="13" t="str">
        <f t="shared" ca="1" si="62"/>
        <v>No_Action</v>
      </c>
      <c r="O236" s="13" t="str">
        <f t="shared" ca="1" si="63"/>
        <v>No_Action</v>
      </c>
      <c r="P236" s="13" t="str">
        <f t="shared" ca="1" si="64"/>
        <v>No_Action</v>
      </c>
      <c r="Q236" s="13" t="str">
        <f t="shared" ca="1" si="65"/>
        <v>No_Action</v>
      </c>
      <c r="R236" s="15"/>
      <c r="S236" s="15" t="str">
        <f t="shared" ca="1" si="66"/>
        <v>NoNo</v>
      </c>
      <c r="T236" s="15"/>
      <c r="U236" s="15">
        <f t="shared" ca="1" si="67"/>
        <v>0</v>
      </c>
      <c r="V236" s="15">
        <f t="shared" ca="1" si="68"/>
        <v>0</v>
      </c>
      <c r="W236" s="15" t="str">
        <f t="shared" ca="1" si="69"/>
        <v>No_Action</v>
      </c>
      <c r="X236" s="15"/>
      <c r="Y236" s="15" t="str">
        <f t="shared" ca="1" si="70"/>
        <v>No_Action</v>
      </c>
      <c r="Z236" s="15">
        <f t="shared" ca="1" si="71"/>
        <v>0</v>
      </c>
      <c r="AA236" s="15">
        <f t="shared" ca="1" si="72"/>
        <v>0</v>
      </c>
      <c r="AB236" s="15"/>
      <c r="AC236" s="15" t="str">
        <f t="shared" ca="1" si="73"/>
        <v>NoNo</v>
      </c>
      <c r="AD236" s="15"/>
      <c r="AE236" s="15">
        <f t="shared" ca="1" si="74"/>
        <v>0</v>
      </c>
      <c r="AF236" s="16">
        <f t="shared" ca="1" si="75"/>
        <v>0</v>
      </c>
      <c r="AG236" s="16" t="str">
        <f t="shared" ca="1" si="76"/>
        <v>No_Action</v>
      </c>
      <c r="AH236" s="15"/>
      <c r="AI236" s="15" t="str">
        <f t="shared" ca="1" si="77"/>
        <v>No_Action</v>
      </c>
      <c r="AJ236" s="15">
        <f t="shared" ca="1" si="78"/>
        <v>0</v>
      </c>
      <c r="AK236" s="15">
        <f t="shared" ca="1" si="79"/>
        <v>0</v>
      </c>
    </row>
    <row r="237" spans="1:37" ht="14.5" customHeight="1" x14ac:dyDescent="0.35">
      <c r="A237" s="12" t="s">
        <v>253</v>
      </c>
      <c r="B237" s="13">
        <f ca="1">IFERROR(__xludf.DUMMYFUNCTION("GOOGLEFINANCE(""NSE:""&amp;A237,""PRICE"")"),258.75)</f>
        <v>258.75</v>
      </c>
      <c r="C237" s="13">
        <f ca="1">IFERROR(__xludf.DUMMYFUNCTION("GOOGLEFINANCE(""NSE:""&amp;A237,""PRICEOPEN"")"),260.05)</f>
        <v>260.05</v>
      </c>
      <c r="D237" s="13">
        <f ca="1">IFERROR(__xludf.DUMMYFUNCTION("GOOGLEFINANCE(""NSE:""&amp;A237,""HIGH"")"),261.35)</f>
        <v>261.35000000000002</v>
      </c>
      <c r="E237" s="13">
        <f ca="1">IFERROR(__xludf.DUMMYFUNCTION("GOOGLEFINANCE(""NSE:""&amp;A237,""LOW"")"),257.7)</f>
        <v>257.7</v>
      </c>
      <c r="F237" s="13">
        <f ca="1">IFERROR(__xludf.DUMMYFUNCTION("GOOGLEFINANCE(""NSE:""&amp;A237,""closeyest"")"),260.05)</f>
        <v>260.05</v>
      </c>
      <c r="G237" s="14">
        <f t="shared" ca="1" si="60"/>
        <v>-5.0241545893720246E-3</v>
      </c>
      <c r="H237" s="13">
        <f ca="1">IFERROR(__xludf.DUMMYFUNCTION("GOOGLEFINANCE(""NSE:""&amp;A237,""VOLUME"")"),6800856)</f>
        <v>6800856</v>
      </c>
      <c r="I237" s="13" t="str">
        <f ca="1">IFERROR(__xludf.DUMMYFUNCTION("AVERAGE(index(GOOGLEFINANCE(""NSE:""&amp;$A237, ""volume"", today()-21, today()-1), , 2))"),"#N/A")</f>
        <v>#N/A</v>
      </c>
      <c r="J237" s="14" t="e">
        <f t="shared" ca="1" si="61"/>
        <v>#VALUE!</v>
      </c>
      <c r="K237" s="13" t="str">
        <f ca="1">IFERROR(__xludf.DUMMYFUNCTION("AVERAGE(index(GOOGLEFINANCE(""NSE:""&amp;$A237, ""close"", today()-6, today()-1), , 2))"),"#N/A")</f>
        <v>#N/A</v>
      </c>
      <c r="L237" s="13" t="str">
        <f ca="1">IFERROR(__xludf.DUMMYFUNCTION("AVERAGE(index(GOOGLEFINANCE(""NSE:""&amp;$A237, ""close"", today()-14, today()-1), , 2))"),"#N/A")</f>
        <v>#N/A</v>
      </c>
      <c r="M237" s="13" t="str">
        <f ca="1">IFERROR(__xludf.DUMMYFUNCTION("AVERAGE(index(GOOGLEFINANCE(""NSE:""&amp;$A237, ""close"", today()-22, today()-1), , 2))"),"#N/A")</f>
        <v>#N/A</v>
      </c>
      <c r="N237" s="13" t="str">
        <f t="shared" ca="1" si="62"/>
        <v>No_Action</v>
      </c>
      <c r="O237" s="13" t="str">
        <f t="shared" ca="1" si="63"/>
        <v>No_Action</v>
      </c>
      <c r="P237" s="13" t="str">
        <f t="shared" ca="1" si="64"/>
        <v>No_Action</v>
      </c>
      <c r="Q237" s="13" t="str">
        <f t="shared" ca="1" si="65"/>
        <v>No_Action</v>
      </c>
      <c r="R237" s="15"/>
      <c r="S237" s="15" t="str">
        <f t="shared" ca="1" si="66"/>
        <v>NoNo</v>
      </c>
      <c r="T237" s="15"/>
      <c r="U237" s="15">
        <f t="shared" ca="1" si="67"/>
        <v>0</v>
      </c>
      <c r="V237" s="15">
        <f t="shared" ca="1" si="68"/>
        <v>0</v>
      </c>
      <c r="W237" s="15" t="str">
        <f t="shared" ca="1" si="69"/>
        <v>No_Action</v>
      </c>
      <c r="X237" s="15"/>
      <c r="Y237" s="15" t="str">
        <f t="shared" ca="1" si="70"/>
        <v>No_Action</v>
      </c>
      <c r="Z237" s="15">
        <f t="shared" ca="1" si="71"/>
        <v>0</v>
      </c>
      <c r="AA237" s="15">
        <f t="shared" ca="1" si="72"/>
        <v>0</v>
      </c>
      <c r="AB237" s="15"/>
      <c r="AC237" s="15" t="str">
        <f t="shared" ca="1" si="73"/>
        <v>NoNo</v>
      </c>
      <c r="AD237" s="15"/>
      <c r="AE237" s="15">
        <f t="shared" ca="1" si="74"/>
        <v>0</v>
      </c>
      <c r="AF237" s="16">
        <f t="shared" ca="1" si="75"/>
        <v>0</v>
      </c>
      <c r="AG237" s="16" t="str">
        <f t="shared" ca="1" si="76"/>
        <v>No_Action</v>
      </c>
      <c r="AH237" s="15"/>
      <c r="AI237" s="15" t="str">
        <f t="shared" ca="1" si="77"/>
        <v>No_Action</v>
      </c>
      <c r="AJ237" s="15">
        <f t="shared" ca="1" si="78"/>
        <v>0</v>
      </c>
      <c r="AK237" s="15">
        <f t="shared" ca="1" si="79"/>
        <v>0</v>
      </c>
    </row>
    <row r="238" spans="1:37" ht="14.5" customHeight="1" x14ac:dyDescent="0.35">
      <c r="A238" s="12" t="s">
        <v>254</v>
      </c>
      <c r="B238" s="13">
        <f ca="1">IFERROR(__xludf.DUMMYFUNCTION("GOOGLEFINANCE(""NSE:""&amp;A238,""PRICE"")"),2137.7)</f>
        <v>2137.6999999999998</v>
      </c>
      <c r="C238" s="13">
        <f ca="1">IFERROR(__xludf.DUMMYFUNCTION("GOOGLEFINANCE(""NSE:""&amp;A238,""PRICEOPEN"")"),2147.45)</f>
        <v>2147.4499999999998</v>
      </c>
      <c r="D238" s="13">
        <f ca="1">IFERROR(__xludf.DUMMYFUNCTION("GOOGLEFINANCE(""NSE:""&amp;A238,""HIGH"")"),2177.35)</f>
        <v>2177.35</v>
      </c>
      <c r="E238" s="13">
        <f ca="1">IFERROR(__xludf.DUMMYFUNCTION("GOOGLEFINANCE(""NSE:""&amp;A238,""LOW"")"),2132.6)</f>
        <v>2132.6</v>
      </c>
      <c r="F238" s="13">
        <f ca="1">IFERROR(__xludf.DUMMYFUNCTION("GOOGLEFINANCE(""NSE:""&amp;A238,""closeyest"")"),2143.3)</f>
        <v>2143.3000000000002</v>
      </c>
      <c r="G238" s="14">
        <f t="shared" ca="1" si="60"/>
        <v>-4.5609767507133843E-3</v>
      </c>
      <c r="H238" s="13">
        <f ca="1">IFERROR(__xludf.DUMMYFUNCTION("GOOGLEFINANCE(""NSE:""&amp;A238,""VOLUME"")"),579295)</f>
        <v>579295</v>
      </c>
      <c r="I238" s="13" t="str">
        <f ca="1">IFERROR(__xludf.DUMMYFUNCTION("AVERAGE(index(GOOGLEFINANCE(""NSE:""&amp;$A238, ""volume"", today()-21, today()-1), , 2))"),"#N/A")</f>
        <v>#N/A</v>
      </c>
      <c r="J238" s="14" t="e">
        <f t="shared" ca="1" si="61"/>
        <v>#VALUE!</v>
      </c>
      <c r="K238" s="13" t="str">
        <f ca="1">IFERROR(__xludf.DUMMYFUNCTION("AVERAGE(index(GOOGLEFINANCE(""NSE:""&amp;$A238, ""close"", today()-6, today()-1), , 2))"),"#N/A")</f>
        <v>#N/A</v>
      </c>
      <c r="L238" s="13" t="str">
        <f ca="1">IFERROR(__xludf.DUMMYFUNCTION("AVERAGE(index(GOOGLEFINANCE(""NSE:""&amp;$A238, ""close"", today()-14, today()-1), , 2))"),"#N/A")</f>
        <v>#N/A</v>
      </c>
      <c r="M238" s="13" t="str">
        <f ca="1">IFERROR(__xludf.DUMMYFUNCTION("AVERAGE(index(GOOGLEFINANCE(""NSE:""&amp;$A238, ""close"", today()-22, today()-1), , 2))"),"#N/A")</f>
        <v>#N/A</v>
      </c>
      <c r="N238" s="13" t="str">
        <f t="shared" ca="1" si="62"/>
        <v>No_Action</v>
      </c>
      <c r="O238" s="13" t="str">
        <f t="shared" ca="1" si="63"/>
        <v>No_Action</v>
      </c>
      <c r="P238" s="13" t="str">
        <f t="shared" ca="1" si="64"/>
        <v>No_Action</v>
      </c>
      <c r="Q238" s="13" t="str">
        <f t="shared" ca="1" si="65"/>
        <v>No_Action</v>
      </c>
      <c r="R238" s="15"/>
      <c r="S238" s="15" t="str">
        <f t="shared" ca="1" si="66"/>
        <v>NoNo</v>
      </c>
      <c r="T238" s="15"/>
      <c r="U238" s="15">
        <f t="shared" ca="1" si="67"/>
        <v>0</v>
      </c>
      <c r="V238" s="15">
        <f t="shared" ca="1" si="68"/>
        <v>0</v>
      </c>
      <c r="W238" s="15" t="str">
        <f t="shared" ca="1" si="69"/>
        <v>No_Action</v>
      </c>
      <c r="X238" s="15"/>
      <c r="Y238" s="15" t="str">
        <f t="shared" ca="1" si="70"/>
        <v>No_Action</v>
      </c>
      <c r="Z238" s="15">
        <f t="shared" ca="1" si="71"/>
        <v>0</v>
      </c>
      <c r="AA238" s="15">
        <f t="shared" ca="1" si="72"/>
        <v>0</v>
      </c>
      <c r="AB238" s="15"/>
      <c r="AC238" s="15" t="str">
        <f t="shared" ca="1" si="73"/>
        <v>NoNo</v>
      </c>
      <c r="AD238" s="15"/>
      <c r="AE238" s="15">
        <f t="shared" ca="1" si="74"/>
        <v>0</v>
      </c>
      <c r="AF238" s="16">
        <f t="shared" ca="1" si="75"/>
        <v>0</v>
      </c>
      <c r="AG238" s="16" t="str">
        <f t="shared" ca="1" si="76"/>
        <v>No_Action</v>
      </c>
      <c r="AH238" s="15"/>
      <c r="AI238" s="15" t="str">
        <f t="shared" ca="1" si="77"/>
        <v>No_Action</v>
      </c>
      <c r="AJ238" s="15">
        <f t="shared" ca="1" si="78"/>
        <v>0</v>
      </c>
      <c r="AK238" s="15">
        <f t="shared" ca="1" si="79"/>
        <v>0</v>
      </c>
    </row>
    <row r="239" spans="1:37" ht="14.5" customHeight="1" x14ac:dyDescent="0.35">
      <c r="A239" s="12" t="s">
        <v>255</v>
      </c>
      <c r="B239" s="13">
        <f ca="1">IFERROR(__xludf.DUMMYFUNCTION("GOOGLEFINANCE(""NSE:""&amp;A239,""PRICE"")"),469.55)</f>
        <v>469.55</v>
      </c>
      <c r="C239" s="13">
        <f ca="1">IFERROR(__xludf.DUMMYFUNCTION("GOOGLEFINANCE(""NSE:""&amp;A239,""PRICEOPEN"")"),475.1)</f>
        <v>475.1</v>
      </c>
      <c r="D239" s="13">
        <f ca="1">IFERROR(__xludf.DUMMYFUNCTION("GOOGLEFINANCE(""NSE:""&amp;A239,""HIGH"")"),476.6)</f>
        <v>476.6</v>
      </c>
      <c r="E239" s="13">
        <f ca="1">IFERROR(__xludf.DUMMYFUNCTION("GOOGLEFINANCE(""NSE:""&amp;A239,""LOW"")"),466.05)</f>
        <v>466.05</v>
      </c>
      <c r="F239" s="13">
        <f ca="1">IFERROR(__xludf.DUMMYFUNCTION("GOOGLEFINANCE(""NSE:""&amp;A239,""closeyest"")"),474.9)</f>
        <v>474.9</v>
      </c>
      <c r="G239" s="14">
        <f t="shared" ca="1" si="60"/>
        <v>-1.1819827494409565E-2</v>
      </c>
      <c r="H239" s="13">
        <f ca="1">IFERROR(__xludf.DUMMYFUNCTION("GOOGLEFINANCE(""NSE:""&amp;A239,""VOLUME"")"),2305005)</f>
        <v>2305005</v>
      </c>
      <c r="I239" s="13" t="str">
        <f ca="1">IFERROR(__xludf.DUMMYFUNCTION("AVERAGE(index(GOOGLEFINANCE(""NSE:""&amp;$A239, ""volume"", today()-21, today()-1), , 2))"),"#N/A")</f>
        <v>#N/A</v>
      </c>
      <c r="J239" s="14" t="e">
        <f t="shared" ca="1" si="61"/>
        <v>#VALUE!</v>
      </c>
      <c r="K239" s="13" t="str">
        <f ca="1">IFERROR(__xludf.DUMMYFUNCTION("AVERAGE(index(GOOGLEFINANCE(""NSE:""&amp;$A239, ""close"", today()-6, today()-1), , 2))"),"#N/A")</f>
        <v>#N/A</v>
      </c>
      <c r="L239" s="13" t="str">
        <f ca="1">IFERROR(__xludf.DUMMYFUNCTION("AVERAGE(index(GOOGLEFINANCE(""NSE:""&amp;$A239, ""close"", today()-14, today()-1), , 2))"),"#N/A")</f>
        <v>#N/A</v>
      </c>
      <c r="M239" s="13" t="str">
        <f ca="1">IFERROR(__xludf.DUMMYFUNCTION("AVERAGE(index(GOOGLEFINANCE(""NSE:""&amp;$A239, ""close"", today()-22, today()-1), , 2))"),"#N/A")</f>
        <v>#N/A</v>
      </c>
      <c r="N239" s="13" t="str">
        <f t="shared" ca="1" si="62"/>
        <v>No_Action</v>
      </c>
      <c r="O239" s="13" t="str">
        <f t="shared" ca="1" si="63"/>
        <v>No_Action</v>
      </c>
      <c r="P239" s="13" t="str">
        <f t="shared" ca="1" si="64"/>
        <v>No_Action</v>
      </c>
      <c r="Q239" s="13" t="str">
        <f t="shared" ca="1" si="65"/>
        <v>No_Action</v>
      </c>
      <c r="R239" s="15"/>
      <c r="S239" s="15" t="str">
        <f t="shared" ca="1" si="66"/>
        <v>NoNo</v>
      </c>
      <c r="T239" s="15"/>
      <c r="U239" s="15">
        <f t="shared" ca="1" si="67"/>
        <v>0</v>
      </c>
      <c r="V239" s="15">
        <f t="shared" ca="1" si="68"/>
        <v>0</v>
      </c>
      <c r="W239" s="15" t="str">
        <f t="shared" ca="1" si="69"/>
        <v>No_Action</v>
      </c>
      <c r="X239" s="15"/>
      <c r="Y239" s="15" t="str">
        <f t="shared" ca="1" si="70"/>
        <v>No_Action</v>
      </c>
      <c r="Z239" s="15">
        <f t="shared" ca="1" si="71"/>
        <v>0</v>
      </c>
      <c r="AA239" s="15">
        <f t="shared" ca="1" si="72"/>
        <v>0</v>
      </c>
      <c r="AB239" s="15"/>
      <c r="AC239" s="15" t="str">
        <f t="shared" ca="1" si="73"/>
        <v>NoNo</v>
      </c>
      <c r="AD239" s="15"/>
      <c r="AE239" s="15">
        <f t="shared" ca="1" si="74"/>
        <v>0</v>
      </c>
      <c r="AF239" s="16">
        <f t="shared" ca="1" si="75"/>
        <v>0</v>
      </c>
      <c r="AG239" s="16" t="str">
        <f t="shared" ca="1" si="76"/>
        <v>No_Action</v>
      </c>
      <c r="AH239" s="15"/>
      <c r="AI239" s="15" t="str">
        <f t="shared" ca="1" si="77"/>
        <v>No_Action</v>
      </c>
      <c r="AJ239" s="15">
        <f t="shared" ca="1" si="78"/>
        <v>0</v>
      </c>
      <c r="AK239" s="15">
        <f t="shared" ca="1" si="79"/>
        <v>0</v>
      </c>
    </row>
    <row r="240" spans="1:37" ht="14.5" customHeight="1" x14ac:dyDescent="0.35">
      <c r="A240" s="12" t="s">
        <v>256</v>
      </c>
      <c r="B240" s="13">
        <f ca="1">IFERROR(__xludf.DUMMYFUNCTION("GOOGLEFINANCE(""NSE:""&amp;A240,""PRICE"")"),4062.5)</f>
        <v>4062.5</v>
      </c>
      <c r="C240" s="13">
        <f ca="1">IFERROR(__xludf.DUMMYFUNCTION("GOOGLEFINANCE(""NSE:""&amp;A240,""PRICEOPEN"")"),4119)</f>
        <v>4119</v>
      </c>
      <c r="D240" s="13">
        <f ca="1">IFERROR(__xludf.DUMMYFUNCTION("GOOGLEFINANCE(""NSE:""&amp;A240,""HIGH"")"),4131.05)</f>
        <v>4131.05</v>
      </c>
      <c r="E240" s="13">
        <f ca="1">IFERROR(__xludf.DUMMYFUNCTION("GOOGLEFINANCE(""NSE:""&amp;A240,""LOW"")"),4052)</f>
        <v>4052</v>
      </c>
      <c r="F240" s="13">
        <f ca="1">IFERROR(__xludf.DUMMYFUNCTION("GOOGLEFINANCE(""NSE:""&amp;A240,""closeyest"")"),4139.25)</f>
        <v>4139.25</v>
      </c>
      <c r="G240" s="14">
        <f t="shared" ca="1" si="60"/>
        <v>-1.3907692307692308E-2</v>
      </c>
      <c r="H240" s="13">
        <f ca="1">IFERROR(__xludf.DUMMYFUNCTION("GOOGLEFINANCE(""NSE:""&amp;A240,""VOLUME"")"),140384)</f>
        <v>140384</v>
      </c>
      <c r="I240" s="13" t="str">
        <f ca="1">IFERROR(__xludf.DUMMYFUNCTION("AVERAGE(index(GOOGLEFINANCE(""NSE:""&amp;$A240, ""volume"", today()-21, today()-1), , 2))"),"#N/A")</f>
        <v>#N/A</v>
      </c>
      <c r="J240" s="14" t="e">
        <f t="shared" ca="1" si="61"/>
        <v>#VALUE!</v>
      </c>
      <c r="K240" s="13" t="str">
        <f ca="1">IFERROR(__xludf.DUMMYFUNCTION("AVERAGE(index(GOOGLEFINANCE(""NSE:""&amp;$A240, ""close"", today()-6, today()-1), , 2))"),"#N/A")</f>
        <v>#N/A</v>
      </c>
      <c r="L240" s="13" t="str">
        <f ca="1">IFERROR(__xludf.DUMMYFUNCTION("AVERAGE(index(GOOGLEFINANCE(""NSE:""&amp;$A240, ""close"", today()-14, today()-1), , 2))"),"#N/A")</f>
        <v>#N/A</v>
      </c>
      <c r="M240" s="13" t="str">
        <f ca="1">IFERROR(__xludf.DUMMYFUNCTION("AVERAGE(index(GOOGLEFINANCE(""NSE:""&amp;$A240, ""close"", today()-22, today()-1), , 2))"),"#N/A")</f>
        <v>#N/A</v>
      </c>
      <c r="N240" s="13" t="str">
        <f t="shared" ca="1" si="62"/>
        <v>No_Action</v>
      </c>
      <c r="O240" s="13" t="str">
        <f t="shared" ca="1" si="63"/>
        <v>No_Action</v>
      </c>
      <c r="P240" s="13" t="str">
        <f t="shared" ca="1" si="64"/>
        <v>No_Action</v>
      </c>
      <c r="Q240" s="13" t="str">
        <f t="shared" ca="1" si="65"/>
        <v>No_Action</v>
      </c>
      <c r="R240" s="15"/>
      <c r="S240" s="15" t="str">
        <f t="shared" ca="1" si="66"/>
        <v>NoNo</v>
      </c>
      <c r="T240" s="15"/>
      <c r="U240" s="15">
        <f t="shared" ca="1" si="67"/>
        <v>0</v>
      </c>
      <c r="V240" s="15">
        <f t="shared" ca="1" si="68"/>
        <v>0</v>
      </c>
      <c r="W240" s="15" t="str">
        <f t="shared" ca="1" si="69"/>
        <v>No_Action</v>
      </c>
      <c r="X240" s="15"/>
      <c r="Y240" s="15" t="str">
        <f t="shared" ca="1" si="70"/>
        <v>No_Action</v>
      </c>
      <c r="Z240" s="15">
        <f t="shared" ca="1" si="71"/>
        <v>0</v>
      </c>
      <c r="AA240" s="15">
        <f t="shared" ca="1" si="72"/>
        <v>0</v>
      </c>
      <c r="AB240" s="15"/>
      <c r="AC240" s="15" t="str">
        <f t="shared" ca="1" si="73"/>
        <v>NoNo</v>
      </c>
      <c r="AD240" s="15"/>
      <c r="AE240" s="15">
        <f t="shared" ca="1" si="74"/>
        <v>0</v>
      </c>
      <c r="AF240" s="16">
        <f t="shared" ca="1" si="75"/>
        <v>0</v>
      </c>
      <c r="AG240" s="16" t="str">
        <f t="shared" ca="1" si="76"/>
        <v>No_Action</v>
      </c>
      <c r="AH240" s="15"/>
      <c r="AI240" s="15" t="str">
        <f t="shared" ca="1" si="77"/>
        <v>No_Action</v>
      </c>
      <c r="AJ240" s="15">
        <f t="shared" ca="1" si="78"/>
        <v>0</v>
      </c>
      <c r="AK240" s="15">
        <f t="shared" ca="1" si="79"/>
        <v>0</v>
      </c>
    </row>
    <row r="241" spans="1:37" ht="14.5" customHeight="1" x14ac:dyDescent="0.35">
      <c r="A241" s="12" t="s">
        <v>257</v>
      </c>
      <c r="B241" s="13">
        <f ca="1">IFERROR(__xludf.DUMMYFUNCTION("GOOGLEFINANCE(""NSE:""&amp;A241,""PRICE"")"),62.8)</f>
        <v>62.8</v>
      </c>
      <c r="C241" s="13">
        <f ca="1">IFERROR(__xludf.DUMMYFUNCTION("GOOGLEFINANCE(""NSE:""&amp;A241,""PRICEOPEN"")"),61.99)</f>
        <v>61.99</v>
      </c>
      <c r="D241" s="13">
        <f ca="1">IFERROR(__xludf.DUMMYFUNCTION("GOOGLEFINANCE(""NSE:""&amp;A241,""HIGH"")"),62.95)</f>
        <v>62.95</v>
      </c>
      <c r="E241" s="13">
        <f ca="1">IFERROR(__xludf.DUMMYFUNCTION("GOOGLEFINANCE(""NSE:""&amp;A241,""LOW"")"),59.3)</f>
        <v>59.3</v>
      </c>
      <c r="F241" s="13">
        <f ca="1">IFERROR(__xludf.DUMMYFUNCTION("GOOGLEFINANCE(""NSE:""&amp;A241,""closeyest"")"),61.53)</f>
        <v>61.53</v>
      </c>
      <c r="G241" s="14">
        <f t="shared" ca="1" si="60"/>
        <v>1.2898089171974447E-2</v>
      </c>
      <c r="H241" s="13">
        <f ca="1">IFERROR(__xludf.DUMMYFUNCTION("GOOGLEFINANCE(""NSE:""&amp;A241,""VOLUME"")"),3465468)</f>
        <v>3465468</v>
      </c>
      <c r="I241" s="13" t="str">
        <f ca="1">IFERROR(__xludf.DUMMYFUNCTION("AVERAGE(index(GOOGLEFINANCE(""NSE:""&amp;$A241, ""volume"", today()-21, today()-1), , 2))"),"#N/A")</f>
        <v>#N/A</v>
      </c>
      <c r="J241" s="14" t="e">
        <f t="shared" ca="1" si="61"/>
        <v>#VALUE!</v>
      </c>
      <c r="K241" s="13" t="str">
        <f ca="1">IFERROR(__xludf.DUMMYFUNCTION("AVERAGE(index(GOOGLEFINANCE(""NSE:""&amp;$A241, ""close"", today()-6, today()-1), , 2))"),"#N/A")</f>
        <v>#N/A</v>
      </c>
      <c r="L241" s="13" t="str">
        <f ca="1">IFERROR(__xludf.DUMMYFUNCTION("AVERAGE(index(GOOGLEFINANCE(""NSE:""&amp;$A241, ""close"", today()-14, today()-1), , 2))"),"#N/A")</f>
        <v>#N/A</v>
      </c>
      <c r="M241" s="13" t="str">
        <f ca="1">IFERROR(__xludf.DUMMYFUNCTION("AVERAGE(index(GOOGLEFINANCE(""NSE:""&amp;$A241, ""close"", today()-22, today()-1), , 2))"),"#N/A")</f>
        <v>#N/A</v>
      </c>
      <c r="N241" s="13" t="str">
        <f t="shared" ca="1" si="62"/>
        <v>No_Action</v>
      </c>
      <c r="O241" s="13" t="str">
        <f t="shared" ca="1" si="63"/>
        <v>No_Action</v>
      </c>
      <c r="P241" s="13" t="str">
        <f t="shared" ca="1" si="64"/>
        <v>No_Action</v>
      </c>
      <c r="Q241" s="13" t="str">
        <f t="shared" ca="1" si="65"/>
        <v>No_Action</v>
      </c>
      <c r="R241" s="15"/>
      <c r="S241" s="15" t="str">
        <f t="shared" ca="1" si="66"/>
        <v>NoNo</v>
      </c>
      <c r="T241" s="15"/>
      <c r="U241" s="15">
        <f t="shared" ca="1" si="67"/>
        <v>0</v>
      </c>
      <c r="V241" s="15">
        <f t="shared" ca="1" si="68"/>
        <v>0</v>
      </c>
      <c r="W241" s="15" t="str">
        <f t="shared" ca="1" si="69"/>
        <v>No_Action</v>
      </c>
      <c r="X241" s="15"/>
      <c r="Y241" s="15" t="str">
        <f t="shared" ca="1" si="70"/>
        <v>No_Action</v>
      </c>
      <c r="Z241" s="15">
        <f t="shared" ca="1" si="71"/>
        <v>0</v>
      </c>
      <c r="AA241" s="15">
        <f t="shared" ca="1" si="72"/>
        <v>0</v>
      </c>
      <c r="AB241" s="15"/>
      <c r="AC241" s="15" t="str">
        <f t="shared" ca="1" si="73"/>
        <v>NoNo</v>
      </c>
      <c r="AD241" s="15"/>
      <c r="AE241" s="15">
        <f t="shared" ca="1" si="74"/>
        <v>0</v>
      </c>
      <c r="AF241" s="16">
        <f t="shared" ca="1" si="75"/>
        <v>0</v>
      </c>
      <c r="AG241" s="16" t="str">
        <f t="shared" ca="1" si="76"/>
        <v>No_Action</v>
      </c>
      <c r="AH241" s="15"/>
      <c r="AI241" s="15" t="str">
        <f t="shared" ca="1" si="77"/>
        <v>No_Action</v>
      </c>
      <c r="AJ241" s="15">
        <f t="shared" ca="1" si="78"/>
        <v>0</v>
      </c>
      <c r="AK241" s="15">
        <f t="shared" ca="1" si="79"/>
        <v>0</v>
      </c>
    </row>
    <row r="242" spans="1:37" ht="14.5" customHeight="1" x14ac:dyDescent="0.35">
      <c r="A242" s="12" t="s">
        <v>258</v>
      </c>
      <c r="B242" s="13">
        <f ca="1">IFERROR(__xludf.DUMMYFUNCTION("GOOGLEFINANCE(""NSE:""&amp;A242,""PRICE"")"),395.9)</f>
        <v>395.9</v>
      </c>
      <c r="C242" s="13">
        <f ca="1">IFERROR(__xludf.DUMMYFUNCTION("GOOGLEFINANCE(""NSE:""&amp;A242,""PRICEOPEN"")"),395.75)</f>
        <v>395.75</v>
      </c>
      <c r="D242" s="13">
        <f ca="1">IFERROR(__xludf.DUMMYFUNCTION("GOOGLEFINANCE(""NSE:""&amp;A242,""HIGH"")"),397.75)</f>
        <v>397.75</v>
      </c>
      <c r="E242" s="13">
        <f ca="1">IFERROR(__xludf.DUMMYFUNCTION("GOOGLEFINANCE(""NSE:""&amp;A242,""LOW"")"),389.25)</f>
        <v>389.25</v>
      </c>
      <c r="F242" s="13">
        <f ca="1">IFERROR(__xludf.DUMMYFUNCTION("GOOGLEFINANCE(""NSE:""&amp;A242,""closeyest"")"),395.75)</f>
        <v>395.75</v>
      </c>
      <c r="G242" s="14">
        <f t="shared" ca="1" si="60"/>
        <v>3.7888355645359251E-4</v>
      </c>
      <c r="H242" s="13">
        <f ca="1">IFERROR(__xludf.DUMMYFUNCTION("GOOGLEFINANCE(""NSE:""&amp;A242,""VOLUME"")"),26797)</f>
        <v>26797</v>
      </c>
      <c r="I242" s="13" t="str">
        <f ca="1">IFERROR(__xludf.DUMMYFUNCTION("AVERAGE(index(GOOGLEFINANCE(""NSE:""&amp;$A242, ""volume"", today()-21, today()-1), , 2))"),"#N/A")</f>
        <v>#N/A</v>
      </c>
      <c r="J242" s="14" t="e">
        <f t="shared" ca="1" si="61"/>
        <v>#VALUE!</v>
      </c>
      <c r="K242" s="13" t="str">
        <f ca="1">IFERROR(__xludf.DUMMYFUNCTION("AVERAGE(index(GOOGLEFINANCE(""NSE:""&amp;$A242, ""close"", today()-6, today()-1), , 2))"),"#N/A")</f>
        <v>#N/A</v>
      </c>
      <c r="L242" s="13" t="str">
        <f ca="1">IFERROR(__xludf.DUMMYFUNCTION("AVERAGE(index(GOOGLEFINANCE(""NSE:""&amp;$A242, ""close"", today()-14, today()-1), , 2))"),"#N/A")</f>
        <v>#N/A</v>
      </c>
      <c r="M242" s="13" t="str">
        <f ca="1">IFERROR(__xludf.DUMMYFUNCTION("AVERAGE(index(GOOGLEFINANCE(""NSE:""&amp;$A242, ""close"", today()-22, today()-1), , 2))"),"#N/A")</f>
        <v>#N/A</v>
      </c>
      <c r="N242" s="13" t="str">
        <f t="shared" ca="1" si="62"/>
        <v>No_Action</v>
      </c>
      <c r="O242" s="13" t="str">
        <f t="shared" ca="1" si="63"/>
        <v>No_Action</v>
      </c>
      <c r="P242" s="13" t="str">
        <f t="shared" ca="1" si="64"/>
        <v>No_Action</v>
      </c>
      <c r="Q242" s="13" t="str">
        <f t="shared" ca="1" si="65"/>
        <v>No_Action</v>
      </c>
      <c r="R242" s="15"/>
      <c r="S242" s="15" t="str">
        <f t="shared" ca="1" si="66"/>
        <v>NoNo</v>
      </c>
      <c r="T242" s="15"/>
      <c r="U242" s="15">
        <f t="shared" ca="1" si="67"/>
        <v>0</v>
      </c>
      <c r="V242" s="15">
        <f t="shared" ca="1" si="68"/>
        <v>0</v>
      </c>
      <c r="W242" s="15" t="str">
        <f t="shared" ca="1" si="69"/>
        <v>No_Action</v>
      </c>
      <c r="X242" s="15"/>
      <c r="Y242" s="15" t="str">
        <f t="shared" ca="1" si="70"/>
        <v>No_Action</v>
      </c>
      <c r="Z242" s="15">
        <f t="shared" ca="1" si="71"/>
        <v>0</v>
      </c>
      <c r="AA242" s="15">
        <f t="shared" ca="1" si="72"/>
        <v>0</v>
      </c>
      <c r="AB242" s="15"/>
      <c r="AC242" s="15" t="str">
        <f t="shared" ca="1" si="73"/>
        <v>NoNo</v>
      </c>
      <c r="AD242" s="15"/>
      <c r="AE242" s="15">
        <f t="shared" ca="1" si="74"/>
        <v>0</v>
      </c>
      <c r="AF242" s="16">
        <f t="shared" ca="1" si="75"/>
        <v>0</v>
      </c>
      <c r="AG242" s="16" t="str">
        <f t="shared" ca="1" si="76"/>
        <v>No_Action</v>
      </c>
      <c r="AH242" s="15"/>
      <c r="AI242" s="15" t="str">
        <f t="shared" ca="1" si="77"/>
        <v>No_Action</v>
      </c>
      <c r="AJ242" s="15">
        <f t="shared" ca="1" si="78"/>
        <v>0</v>
      </c>
      <c r="AK242" s="15">
        <f t="shared" ca="1" si="79"/>
        <v>0</v>
      </c>
    </row>
    <row r="243" spans="1:37" ht="14.5" customHeight="1" x14ac:dyDescent="0.35">
      <c r="A243" s="12" t="s">
        <v>259</v>
      </c>
      <c r="B243" s="13">
        <f ca="1">IFERROR(__xludf.DUMMYFUNCTION("GOOGLEFINANCE(""NSE:""&amp;A243,""PRICE"")"),335.1)</f>
        <v>335.1</v>
      </c>
      <c r="C243" s="13">
        <f ca="1">IFERROR(__xludf.DUMMYFUNCTION("GOOGLEFINANCE(""NSE:""&amp;A243,""PRICEOPEN"")"),333.6)</f>
        <v>333.6</v>
      </c>
      <c r="D243" s="13">
        <f ca="1">IFERROR(__xludf.DUMMYFUNCTION("GOOGLEFINANCE(""NSE:""&amp;A243,""HIGH"")"),338.45)</f>
        <v>338.45</v>
      </c>
      <c r="E243" s="13">
        <f ca="1">IFERROR(__xludf.DUMMYFUNCTION("GOOGLEFINANCE(""NSE:""&amp;A243,""LOW"")"),333.4)</f>
        <v>333.4</v>
      </c>
      <c r="F243" s="13">
        <f ca="1">IFERROR(__xludf.DUMMYFUNCTION("GOOGLEFINANCE(""NSE:""&amp;A243,""closeyest"")"),335.85)</f>
        <v>335.85</v>
      </c>
      <c r="G243" s="14">
        <f t="shared" ca="1" si="60"/>
        <v>4.4762757385854966E-3</v>
      </c>
      <c r="H243" s="13">
        <f ca="1">IFERROR(__xludf.DUMMYFUNCTION("GOOGLEFINANCE(""NSE:""&amp;A243,""VOLUME"")"),1809227)</f>
        <v>1809227</v>
      </c>
      <c r="I243" s="13" t="str">
        <f ca="1">IFERROR(__xludf.DUMMYFUNCTION("AVERAGE(index(GOOGLEFINANCE(""NSE:""&amp;$A243, ""volume"", today()-21, today()-1), , 2))"),"#N/A")</f>
        <v>#N/A</v>
      </c>
      <c r="J243" s="14" t="e">
        <f t="shared" ca="1" si="61"/>
        <v>#VALUE!</v>
      </c>
      <c r="K243" s="13" t="str">
        <f ca="1">IFERROR(__xludf.DUMMYFUNCTION("AVERAGE(index(GOOGLEFINANCE(""NSE:""&amp;$A243, ""close"", today()-6, today()-1), , 2))"),"#N/A")</f>
        <v>#N/A</v>
      </c>
      <c r="L243" s="13" t="str">
        <f ca="1">IFERROR(__xludf.DUMMYFUNCTION("AVERAGE(index(GOOGLEFINANCE(""NSE:""&amp;$A243, ""close"", today()-14, today()-1), , 2))"),"#N/A")</f>
        <v>#N/A</v>
      </c>
      <c r="M243" s="13" t="str">
        <f ca="1">IFERROR(__xludf.DUMMYFUNCTION("AVERAGE(index(GOOGLEFINANCE(""NSE:""&amp;$A243, ""close"", today()-22, today()-1), , 2))"),"#N/A")</f>
        <v>#N/A</v>
      </c>
      <c r="N243" s="13" t="str">
        <f t="shared" ca="1" si="62"/>
        <v>No_Action</v>
      </c>
      <c r="O243" s="13" t="str">
        <f t="shared" ca="1" si="63"/>
        <v>No_Action</v>
      </c>
      <c r="P243" s="13" t="str">
        <f t="shared" ca="1" si="64"/>
        <v>No_Action</v>
      </c>
      <c r="Q243" s="13" t="str">
        <f t="shared" ca="1" si="65"/>
        <v>No_Action</v>
      </c>
      <c r="R243" s="15"/>
      <c r="S243" s="15" t="str">
        <f t="shared" ca="1" si="66"/>
        <v>NoNo</v>
      </c>
      <c r="T243" s="15"/>
      <c r="U243" s="15">
        <f t="shared" ca="1" si="67"/>
        <v>0</v>
      </c>
      <c r="V243" s="15">
        <f t="shared" ca="1" si="68"/>
        <v>0</v>
      </c>
      <c r="W243" s="15" t="str">
        <f t="shared" ca="1" si="69"/>
        <v>No_Action</v>
      </c>
      <c r="X243" s="15"/>
      <c r="Y243" s="15" t="str">
        <f t="shared" ca="1" si="70"/>
        <v>No_Action</v>
      </c>
      <c r="Z243" s="15">
        <f t="shared" ca="1" si="71"/>
        <v>0</v>
      </c>
      <c r="AA243" s="15">
        <f t="shared" ca="1" si="72"/>
        <v>0</v>
      </c>
      <c r="AB243" s="15"/>
      <c r="AC243" s="15" t="str">
        <f t="shared" ca="1" si="73"/>
        <v>NoNo</v>
      </c>
      <c r="AD243" s="15"/>
      <c r="AE243" s="15">
        <f t="shared" ca="1" si="74"/>
        <v>0</v>
      </c>
      <c r="AF243" s="16">
        <f t="shared" ca="1" si="75"/>
        <v>0</v>
      </c>
      <c r="AG243" s="16" t="str">
        <f t="shared" ca="1" si="76"/>
        <v>No_Action</v>
      </c>
      <c r="AH243" s="15"/>
      <c r="AI243" s="15" t="str">
        <f t="shared" ca="1" si="77"/>
        <v>No_Action</v>
      </c>
      <c r="AJ243" s="15">
        <f t="shared" ca="1" si="78"/>
        <v>0</v>
      </c>
      <c r="AK243" s="15">
        <f t="shared" ca="1" si="79"/>
        <v>0</v>
      </c>
    </row>
    <row r="244" spans="1:37" ht="14.5" customHeight="1" x14ac:dyDescent="0.35">
      <c r="A244" s="12" t="s">
        <v>260</v>
      </c>
      <c r="B244" s="13">
        <f ca="1">IFERROR(__xludf.DUMMYFUNCTION("GOOGLEFINANCE(""NSE:""&amp;A244,""PRICE"")"),5065)</f>
        <v>5065</v>
      </c>
      <c r="C244" s="13">
        <f ca="1">IFERROR(__xludf.DUMMYFUNCTION("GOOGLEFINANCE(""NSE:""&amp;A244,""PRICEOPEN"")"),5278)</f>
        <v>5278</v>
      </c>
      <c r="D244" s="13">
        <f ca="1">IFERROR(__xludf.DUMMYFUNCTION("GOOGLEFINANCE(""NSE:""&amp;A244,""HIGH"")"),5278)</f>
        <v>5278</v>
      </c>
      <c r="E244" s="13">
        <f ca="1">IFERROR(__xludf.DUMMYFUNCTION("GOOGLEFINANCE(""NSE:""&amp;A244,""LOW"")"),5049.15)</f>
        <v>5049.1499999999996</v>
      </c>
      <c r="F244" s="13">
        <f ca="1">IFERROR(__xludf.DUMMYFUNCTION("GOOGLEFINANCE(""NSE:""&amp;A244,""closeyest"")"),5232.9)</f>
        <v>5232.8999999999996</v>
      </c>
      <c r="G244" s="14">
        <f t="shared" ca="1" si="60"/>
        <v>-4.2053307008884502E-2</v>
      </c>
      <c r="H244" s="13">
        <f ca="1">IFERROR(__xludf.DUMMYFUNCTION("GOOGLEFINANCE(""NSE:""&amp;A244,""VOLUME"")"),39660)</f>
        <v>39660</v>
      </c>
      <c r="I244" s="13" t="str">
        <f ca="1">IFERROR(__xludf.DUMMYFUNCTION("AVERAGE(index(GOOGLEFINANCE(""NSE:""&amp;$A244, ""volume"", today()-21, today()-1), , 2))"),"#N/A")</f>
        <v>#N/A</v>
      </c>
      <c r="J244" s="14" t="e">
        <f t="shared" ca="1" si="61"/>
        <v>#VALUE!</v>
      </c>
      <c r="K244" s="13" t="str">
        <f ca="1">IFERROR(__xludf.DUMMYFUNCTION("AVERAGE(index(GOOGLEFINANCE(""NSE:""&amp;$A244, ""close"", today()-6, today()-1), , 2))"),"#N/A")</f>
        <v>#N/A</v>
      </c>
      <c r="L244" s="13" t="str">
        <f ca="1">IFERROR(__xludf.DUMMYFUNCTION("AVERAGE(index(GOOGLEFINANCE(""NSE:""&amp;$A244, ""close"", today()-14, today()-1), , 2))"),"#N/A")</f>
        <v>#N/A</v>
      </c>
      <c r="M244" s="13" t="str">
        <f ca="1">IFERROR(__xludf.DUMMYFUNCTION("AVERAGE(index(GOOGLEFINANCE(""NSE:""&amp;$A244, ""close"", today()-22, today()-1), , 2))"),"#N/A")</f>
        <v>#N/A</v>
      </c>
      <c r="N244" s="13" t="str">
        <f t="shared" ca="1" si="62"/>
        <v>No_Action</v>
      </c>
      <c r="O244" s="13" t="str">
        <f t="shared" ca="1" si="63"/>
        <v>No_Action</v>
      </c>
      <c r="P244" s="13" t="str">
        <f t="shared" ca="1" si="64"/>
        <v>No_Action</v>
      </c>
      <c r="Q244" s="13" t="str">
        <f t="shared" ca="1" si="65"/>
        <v>No_Action</v>
      </c>
      <c r="R244" s="15"/>
      <c r="S244" s="15" t="str">
        <f t="shared" ca="1" si="66"/>
        <v>NoNo</v>
      </c>
      <c r="T244" s="15"/>
      <c r="U244" s="15">
        <f t="shared" ca="1" si="67"/>
        <v>0</v>
      </c>
      <c r="V244" s="15">
        <f t="shared" ca="1" si="68"/>
        <v>0</v>
      </c>
      <c r="W244" s="15" t="str">
        <f t="shared" ca="1" si="69"/>
        <v>No_Action</v>
      </c>
      <c r="X244" s="15"/>
      <c r="Y244" s="15" t="str">
        <f t="shared" ca="1" si="70"/>
        <v>No_Action</v>
      </c>
      <c r="Z244" s="15">
        <f t="shared" ca="1" si="71"/>
        <v>0</v>
      </c>
      <c r="AA244" s="15">
        <f t="shared" ca="1" si="72"/>
        <v>0</v>
      </c>
      <c r="AB244" s="15"/>
      <c r="AC244" s="15" t="str">
        <f t="shared" ca="1" si="73"/>
        <v>NoNo</v>
      </c>
      <c r="AD244" s="15"/>
      <c r="AE244" s="15">
        <f t="shared" ca="1" si="74"/>
        <v>0</v>
      </c>
      <c r="AF244" s="16">
        <f t="shared" ca="1" si="75"/>
        <v>0</v>
      </c>
      <c r="AG244" s="16" t="str">
        <f t="shared" ca="1" si="76"/>
        <v>No_Action</v>
      </c>
      <c r="AH244" s="15"/>
      <c r="AI244" s="15" t="str">
        <f t="shared" ca="1" si="77"/>
        <v>No_Action</v>
      </c>
      <c r="AJ244" s="15">
        <f t="shared" ca="1" si="78"/>
        <v>0</v>
      </c>
      <c r="AK244" s="15">
        <f t="shared" ca="1" si="79"/>
        <v>0</v>
      </c>
    </row>
    <row r="245" spans="1:37" ht="14.5" customHeight="1" x14ac:dyDescent="0.35">
      <c r="A245" s="12" t="s">
        <v>261</v>
      </c>
      <c r="B245" s="13">
        <f ca="1">IFERROR(__xludf.DUMMYFUNCTION("GOOGLEFINANCE(""NSE:""&amp;A245,""PRICE"")"),857.1)</f>
        <v>857.1</v>
      </c>
      <c r="C245" s="13">
        <f ca="1">IFERROR(__xludf.DUMMYFUNCTION("GOOGLEFINANCE(""NSE:""&amp;A245,""PRICEOPEN"")"),825)</f>
        <v>825</v>
      </c>
      <c r="D245" s="13">
        <f ca="1">IFERROR(__xludf.DUMMYFUNCTION("GOOGLEFINANCE(""NSE:""&amp;A245,""HIGH"")"),860)</f>
        <v>860</v>
      </c>
      <c r="E245" s="13">
        <f ca="1">IFERROR(__xludf.DUMMYFUNCTION("GOOGLEFINANCE(""NSE:""&amp;A245,""LOW"")"),822.05)</f>
        <v>822.05</v>
      </c>
      <c r="F245" s="13">
        <f ca="1">IFERROR(__xludf.DUMMYFUNCTION("GOOGLEFINANCE(""NSE:""&amp;A245,""closeyest"")"),813.5)</f>
        <v>813.5</v>
      </c>
      <c r="G245" s="14">
        <f t="shared" ca="1" si="60"/>
        <v>3.7451872593629705E-2</v>
      </c>
      <c r="H245" s="13">
        <f ca="1">IFERROR(__xludf.DUMMYFUNCTION("GOOGLEFINANCE(""NSE:""&amp;A245,""VOLUME"")"),1939703)</f>
        <v>1939703</v>
      </c>
      <c r="I245" s="13" t="str">
        <f ca="1">IFERROR(__xludf.DUMMYFUNCTION("AVERAGE(index(GOOGLEFINANCE(""NSE:""&amp;$A245, ""volume"", today()-21, today()-1), , 2))"),"#N/A")</f>
        <v>#N/A</v>
      </c>
      <c r="J245" s="14" t="e">
        <f t="shared" ca="1" si="61"/>
        <v>#VALUE!</v>
      </c>
      <c r="K245" s="13" t="str">
        <f ca="1">IFERROR(__xludf.DUMMYFUNCTION("AVERAGE(index(GOOGLEFINANCE(""NSE:""&amp;$A245, ""close"", today()-6, today()-1), , 2))"),"#N/A")</f>
        <v>#N/A</v>
      </c>
      <c r="L245" s="13" t="str">
        <f ca="1">IFERROR(__xludf.DUMMYFUNCTION("AVERAGE(index(GOOGLEFINANCE(""NSE:""&amp;$A245, ""close"", today()-14, today()-1), , 2))"),"#N/A")</f>
        <v>#N/A</v>
      </c>
      <c r="M245" s="13" t="str">
        <f ca="1">IFERROR(__xludf.DUMMYFUNCTION("AVERAGE(index(GOOGLEFINANCE(""NSE:""&amp;$A245, ""close"", today()-22, today()-1), , 2))"),"#N/A")</f>
        <v>#N/A</v>
      </c>
      <c r="N245" s="13" t="str">
        <f t="shared" ca="1" si="62"/>
        <v>No_Action</v>
      </c>
      <c r="O245" s="13" t="str">
        <f t="shared" ca="1" si="63"/>
        <v>No_Action</v>
      </c>
      <c r="P245" s="13" t="str">
        <f t="shared" ca="1" si="64"/>
        <v>No_Action</v>
      </c>
      <c r="Q245" s="13" t="str">
        <f t="shared" ca="1" si="65"/>
        <v>No_Action</v>
      </c>
      <c r="R245" s="15"/>
      <c r="S245" s="15" t="str">
        <f t="shared" ca="1" si="66"/>
        <v>NoNo</v>
      </c>
      <c r="T245" s="15"/>
      <c r="U245" s="15">
        <f t="shared" ca="1" si="67"/>
        <v>0</v>
      </c>
      <c r="V245" s="15">
        <f t="shared" ca="1" si="68"/>
        <v>0</v>
      </c>
      <c r="W245" s="15" t="str">
        <f t="shared" ca="1" si="69"/>
        <v>No_Action</v>
      </c>
      <c r="X245" s="15"/>
      <c r="Y245" s="15" t="str">
        <f t="shared" ca="1" si="70"/>
        <v>No_Action</v>
      </c>
      <c r="Z245" s="15">
        <f t="shared" ca="1" si="71"/>
        <v>0</v>
      </c>
      <c r="AA245" s="15">
        <f t="shared" ca="1" si="72"/>
        <v>0</v>
      </c>
      <c r="AB245" s="15"/>
      <c r="AC245" s="15" t="str">
        <f t="shared" ca="1" si="73"/>
        <v>NoNo</v>
      </c>
      <c r="AD245" s="15"/>
      <c r="AE245" s="15">
        <f t="shared" ca="1" si="74"/>
        <v>0</v>
      </c>
      <c r="AF245" s="16">
        <f t="shared" ca="1" si="75"/>
        <v>0</v>
      </c>
      <c r="AG245" s="16" t="str">
        <f t="shared" ca="1" si="76"/>
        <v>No_Action</v>
      </c>
      <c r="AH245" s="15"/>
      <c r="AI245" s="15" t="str">
        <f t="shared" ca="1" si="77"/>
        <v>No_Action</v>
      </c>
      <c r="AJ245" s="15">
        <f t="shared" ca="1" si="78"/>
        <v>0</v>
      </c>
      <c r="AK245" s="15">
        <f t="shared" ca="1" si="79"/>
        <v>0</v>
      </c>
    </row>
    <row r="246" spans="1:37" ht="14.5" customHeight="1" x14ac:dyDescent="0.35">
      <c r="A246" s="12" t="s">
        <v>262</v>
      </c>
      <c r="B246" s="13">
        <f ca="1">IFERROR(__xludf.DUMMYFUNCTION("GOOGLEFINANCE(""NSE:""&amp;A246,""PRICE"")"),1791)</f>
        <v>1791</v>
      </c>
      <c r="C246" s="13">
        <f ca="1">IFERROR(__xludf.DUMMYFUNCTION("GOOGLEFINANCE(""NSE:""&amp;A246,""PRICEOPEN"")"),1770)</f>
        <v>1770</v>
      </c>
      <c r="D246" s="13">
        <f ca="1">IFERROR(__xludf.DUMMYFUNCTION("GOOGLEFINANCE(""NSE:""&amp;A246,""HIGH"")"),1810)</f>
        <v>1810</v>
      </c>
      <c r="E246" s="13">
        <f ca="1">IFERROR(__xludf.DUMMYFUNCTION("GOOGLEFINANCE(""NSE:""&amp;A246,""LOW"")"),1761.55)</f>
        <v>1761.55</v>
      </c>
      <c r="F246" s="13">
        <f ca="1">IFERROR(__xludf.DUMMYFUNCTION("GOOGLEFINANCE(""NSE:""&amp;A246,""closeyest"")"),1771.35)</f>
        <v>1771.35</v>
      </c>
      <c r="G246" s="14">
        <f t="shared" ca="1" si="60"/>
        <v>1.1725293132328308E-2</v>
      </c>
      <c r="H246" s="13">
        <f ca="1">IFERROR(__xludf.DUMMYFUNCTION("GOOGLEFINANCE(""NSE:""&amp;A246,""VOLUME"")"),695470)</f>
        <v>695470</v>
      </c>
      <c r="I246" s="13" t="str">
        <f ca="1">IFERROR(__xludf.DUMMYFUNCTION("AVERAGE(index(GOOGLEFINANCE(""NSE:""&amp;$A246, ""volume"", today()-21, today()-1), , 2))"),"#N/A")</f>
        <v>#N/A</v>
      </c>
      <c r="J246" s="14" t="e">
        <f t="shared" ca="1" si="61"/>
        <v>#VALUE!</v>
      </c>
      <c r="K246" s="13" t="str">
        <f ca="1">IFERROR(__xludf.DUMMYFUNCTION("AVERAGE(index(GOOGLEFINANCE(""NSE:""&amp;$A246, ""close"", today()-6, today()-1), , 2))"),"#N/A")</f>
        <v>#N/A</v>
      </c>
      <c r="L246" s="13" t="str">
        <f ca="1">IFERROR(__xludf.DUMMYFUNCTION("AVERAGE(index(GOOGLEFINANCE(""NSE:""&amp;$A246, ""close"", today()-14, today()-1), , 2))"),"#N/A")</f>
        <v>#N/A</v>
      </c>
      <c r="M246" s="13" t="str">
        <f ca="1">IFERROR(__xludf.DUMMYFUNCTION("AVERAGE(index(GOOGLEFINANCE(""NSE:""&amp;$A246, ""close"", today()-22, today()-1), , 2))"),"#N/A")</f>
        <v>#N/A</v>
      </c>
      <c r="N246" s="13" t="str">
        <f t="shared" ca="1" si="62"/>
        <v>No_Action</v>
      </c>
      <c r="O246" s="13" t="str">
        <f t="shared" ca="1" si="63"/>
        <v>No_Action</v>
      </c>
      <c r="P246" s="13" t="str">
        <f t="shared" ca="1" si="64"/>
        <v>No_Action</v>
      </c>
      <c r="Q246" s="13" t="str">
        <f t="shared" ca="1" si="65"/>
        <v>No_Action</v>
      </c>
      <c r="R246" s="15"/>
      <c r="S246" s="15" t="str">
        <f t="shared" ca="1" si="66"/>
        <v>NoNo</v>
      </c>
      <c r="T246" s="15"/>
      <c r="U246" s="15">
        <f t="shared" ca="1" si="67"/>
        <v>0</v>
      </c>
      <c r="V246" s="15">
        <f t="shared" ca="1" si="68"/>
        <v>0</v>
      </c>
      <c r="W246" s="15" t="str">
        <f t="shared" ca="1" si="69"/>
        <v>No_Action</v>
      </c>
      <c r="X246" s="15"/>
      <c r="Y246" s="15" t="str">
        <f t="shared" ca="1" si="70"/>
        <v>No_Action</v>
      </c>
      <c r="Z246" s="15">
        <f t="shared" ca="1" si="71"/>
        <v>0</v>
      </c>
      <c r="AA246" s="15">
        <f t="shared" ca="1" si="72"/>
        <v>0</v>
      </c>
      <c r="AB246" s="15"/>
      <c r="AC246" s="15" t="str">
        <f t="shared" ca="1" si="73"/>
        <v>NoNo</v>
      </c>
      <c r="AD246" s="15"/>
      <c r="AE246" s="15">
        <f t="shared" ca="1" si="74"/>
        <v>0</v>
      </c>
      <c r="AF246" s="16">
        <f t="shared" ca="1" si="75"/>
        <v>0</v>
      </c>
      <c r="AG246" s="16" t="str">
        <f t="shared" ca="1" si="76"/>
        <v>No_Action</v>
      </c>
      <c r="AH246" s="15"/>
      <c r="AI246" s="15" t="str">
        <f t="shared" ca="1" si="77"/>
        <v>No_Action</v>
      </c>
      <c r="AJ246" s="15">
        <f t="shared" ca="1" si="78"/>
        <v>0</v>
      </c>
      <c r="AK246" s="15">
        <f t="shared" ca="1" si="79"/>
        <v>0</v>
      </c>
    </row>
    <row r="247" spans="1:37" ht="14.5" customHeight="1" x14ac:dyDescent="0.35">
      <c r="A247" s="12" t="s">
        <v>263</v>
      </c>
      <c r="B247" s="13">
        <f ca="1">IFERROR(__xludf.DUMMYFUNCTION("GOOGLEFINANCE(""NSE:""&amp;A247,""PRICE"")"),2711.45)</f>
        <v>2711.45</v>
      </c>
      <c r="C247" s="13">
        <f ca="1">IFERROR(__xludf.DUMMYFUNCTION("GOOGLEFINANCE(""NSE:""&amp;A247,""PRICEOPEN"")"),2689)</f>
        <v>2689</v>
      </c>
      <c r="D247" s="13">
        <f ca="1">IFERROR(__xludf.DUMMYFUNCTION("GOOGLEFINANCE(""NSE:""&amp;A247,""HIGH"")"),2774.9)</f>
        <v>2774.9</v>
      </c>
      <c r="E247" s="13">
        <f ca="1">IFERROR(__xludf.DUMMYFUNCTION("GOOGLEFINANCE(""NSE:""&amp;A247,""LOW"")"),2680.05)</f>
        <v>2680.05</v>
      </c>
      <c r="F247" s="13">
        <f ca="1">IFERROR(__xludf.DUMMYFUNCTION("GOOGLEFINANCE(""NSE:""&amp;A247,""closeyest"")"),2689.5)</f>
        <v>2689.5</v>
      </c>
      <c r="G247" s="14">
        <f t="shared" ca="1" si="60"/>
        <v>8.2797027420752067E-3</v>
      </c>
      <c r="H247" s="13">
        <f ca="1">IFERROR(__xludf.DUMMYFUNCTION("GOOGLEFINANCE(""NSE:""&amp;A247,""VOLUME"")"),31323)</f>
        <v>31323</v>
      </c>
      <c r="I247" s="13" t="str">
        <f ca="1">IFERROR(__xludf.DUMMYFUNCTION("AVERAGE(index(GOOGLEFINANCE(""NSE:""&amp;$A247, ""volume"", today()-21, today()-1), , 2))"),"#N/A")</f>
        <v>#N/A</v>
      </c>
      <c r="J247" s="14" t="e">
        <f t="shared" ca="1" si="61"/>
        <v>#VALUE!</v>
      </c>
      <c r="K247" s="13" t="str">
        <f ca="1">IFERROR(__xludf.DUMMYFUNCTION("AVERAGE(index(GOOGLEFINANCE(""NSE:""&amp;$A247, ""close"", today()-6, today()-1), , 2))"),"#N/A")</f>
        <v>#N/A</v>
      </c>
      <c r="L247" s="13" t="str">
        <f ca="1">IFERROR(__xludf.DUMMYFUNCTION("AVERAGE(index(GOOGLEFINANCE(""NSE:""&amp;$A247, ""close"", today()-14, today()-1), , 2))"),"#N/A")</f>
        <v>#N/A</v>
      </c>
      <c r="M247" s="13" t="str">
        <f ca="1">IFERROR(__xludf.DUMMYFUNCTION("AVERAGE(index(GOOGLEFINANCE(""NSE:""&amp;$A247, ""close"", today()-22, today()-1), , 2))"),"#N/A")</f>
        <v>#N/A</v>
      </c>
      <c r="N247" s="13" t="str">
        <f t="shared" ca="1" si="62"/>
        <v>No_Action</v>
      </c>
      <c r="O247" s="13" t="str">
        <f t="shared" ca="1" si="63"/>
        <v>No_Action</v>
      </c>
      <c r="P247" s="13" t="str">
        <f t="shared" ca="1" si="64"/>
        <v>No_Action</v>
      </c>
      <c r="Q247" s="13" t="str">
        <f t="shared" ca="1" si="65"/>
        <v>No_Action</v>
      </c>
      <c r="R247" s="15"/>
      <c r="S247" s="15" t="str">
        <f t="shared" ca="1" si="66"/>
        <v>NoNo</v>
      </c>
      <c r="T247" s="15"/>
      <c r="U247" s="15">
        <f t="shared" ca="1" si="67"/>
        <v>0</v>
      </c>
      <c r="V247" s="15">
        <f t="shared" ca="1" si="68"/>
        <v>0</v>
      </c>
      <c r="W247" s="15" t="str">
        <f t="shared" ca="1" si="69"/>
        <v>No_Action</v>
      </c>
      <c r="X247" s="15"/>
      <c r="Y247" s="15" t="str">
        <f t="shared" ca="1" si="70"/>
        <v>No_Action</v>
      </c>
      <c r="Z247" s="15">
        <f t="shared" ca="1" si="71"/>
        <v>0</v>
      </c>
      <c r="AA247" s="15">
        <f t="shared" ca="1" si="72"/>
        <v>0</v>
      </c>
      <c r="AB247" s="15"/>
      <c r="AC247" s="15" t="str">
        <f t="shared" ca="1" si="73"/>
        <v>NoNo</v>
      </c>
      <c r="AD247" s="15"/>
      <c r="AE247" s="15">
        <f t="shared" ca="1" si="74"/>
        <v>0</v>
      </c>
      <c r="AF247" s="16">
        <f t="shared" ca="1" si="75"/>
        <v>0</v>
      </c>
      <c r="AG247" s="16" t="str">
        <f t="shared" ca="1" si="76"/>
        <v>No_Action</v>
      </c>
      <c r="AH247" s="15"/>
      <c r="AI247" s="15" t="str">
        <f t="shared" ca="1" si="77"/>
        <v>No_Action</v>
      </c>
      <c r="AJ247" s="15">
        <f t="shared" ca="1" si="78"/>
        <v>0</v>
      </c>
      <c r="AK247" s="15">
        <f t="shared" ca="1" si="79"/>
        <v>0</v>
      </c>
    </row>
    <row r="248" spans="1:37" ht="14.5" customHeight="1" x14ac:dyDescent="0.35">
      <c r="A248" s="12" t="s">
        <v>264</v>
      </c>
      <c r="B248" s="13">
        <f ca="1">IFERROR(__xludf.DUMMYFUNCTION("GOOGLEFINANCE(""NSE:""&amp;A248,""PRICE"")"),958)</f>
        <v>958</v>
      </c>
      <c r="C248" s="13">
        <f ca="1">IFERROR(__xludf.DUMMYFUNCTION("GOOGLEFINANCE(""NSE:""&amp;A248,""PRICEOPEN"")"),967.8)</f>
        <v>967.8</v>
      </c>
      <c r="D248" s="13">
        <f ca="1">IFERROR(__xludf.DUMMYFUNCTION("GOOGLEFINANCE(""NSE:""&amp;A248,""HIGH"")"),976.65)</f>
        <v>976.65</v>
      </c>
      <c r="E248" s="13">
        <f ca="1">IFERROR(__xludf.DUMMYFUNCTION("GOOGLEFINANCE(""NSE:""&amp;A248,""LOW"")"),948.85)</f>
        <v>948.85</v>
      </c>
      <c r="F248" s="13">
        <f ca="1">IFERROR(__xludf.DUMMYFUNCTION("GOOGLEFINANCE(""NSE:""&amp;A248,""closeyest"")"),963.15)</f>
        <v>963.15</v>
      </c>
      <c r="G248" s="14">
        <f t="shared" ca="1" si="60"/>
        <v>-1.0229645093945673E-2</v>
      </c>
      <c r="H248" s="13">
        <f ca="1">IFERROR(__xludf.DUMMYFUNCTION("GOOGLEFINANCE(""NSE:""&amp;A248,""VOLUME"")"),989760)</f>
        <v>989760</v>
      </c>
      <c r="I248" s="13" t="str">
        <f ca="1">IFERROR(__xludf.DUMMYFUNCTION("AVERAGE(index(GOOGLEFINANCE(""NSE:""&amp;$A248, ""volume"", today()-21, today()-1), , 2))"),"#N/A")</f>
        <v>#N/A</v>
      </c>
      <c r="J248" s="14" t="e">
        <f t="shared" ca="1" si="61"/>
        <v>#VALUE!</v>
      </c>
      <c r="K248" s="13" t="str">
        <f ca="1">IFERROR(__xludf.DUMMYFUNCTION("AVERAGE(index(GOOGLEFINANCE(""NSE:""&amp;$A248, ""close"", today()-6, today()-1), , 2))"),"#N/A")</f>
        <v>#N/A</v>
      </c>
      <c r="L248" s="13" t="str">
        <f ca="1">IFERROR(__xludf.DUMMYFUNCTION("AVERAGE(index(GOOGLEFINANCE(""NSE:""&amp;$A248, ""close"", today()-14, today()-1), , 2))"),"#N/A")</f>
        <v>#N/A</v>
      </c>
      <c r="M248" s="13" t="str">
        <f ca="1">IFERROR(__xludf.DUMMYFUNCTION("AVERAGE(index(GOOGLEFINANCE(""NSE:""&amp;$A248, ""close"", today()-22, today()-1), , 2))"),"#N/A")</f>
        <v>#N/A</v>
      </c>
      <c r="N248" s="13" t="str">
        <f t="shared" ca="1" si="62"/>
        <v>No_Action</v>
      </c>
      <c r="O248" s="13" t="str">
        <f t="shared" ca="1" si="63"/>
        <v>No_Action</v>
      </c>
      <c r="P248" s="13" t="str">
        <f t="shared" ca="1" si="64"/>
        <v>No_Action</v>
      </c>
      <c r="Q248" s="13" t="str">
        <f t="shared" ca="1" si="65"/>
        <v>No_Action</v>
      </c>
      <c r="R248" s="15"/>
      <c r="S248" s="15" t="str">
        <f t="shared" ca="1" si="66"/>
        <v>NoNo</v>
      </c>
      <c r="T248" s="15"/>
      <c r="U248" s="15">
        <f t="shared" ca="1" si="67"/>
        <v>0</v>
      </c>
      <c r="V248" s="15">
        <f t="shared" ca="1" si="68"/>
        <v>0</v>
      </c>
      <c r="W248" s="15" t="str">
        <f t="shared" ca="1" si="69"/>
        <v>No_Action</v>
      </c>
      <c r="X248" s="15"/>
      <c r="Y248" s="15" t="str">
        <f t="shared" ca="1" si="70"/>
        <v>No_Action</v>
      </c>
      <c r="Z248" s="15">
        <f t="shared" ca="1" si="71"/>
        <v>0</v>
      </c>
      <c r="AA248" s="15">
        <f t="shared" ca="1" si="72"/>
        <v>0</v>
      </c>
      <c r="AB248" s="15"/>
      <c r="AC248" s="15" t="str">
        <f t="shared" ca="1" si="73"/>
        <v>NoNo</v>
      </c>
      <c r="AD248" s="15"/>
      <c r="AE248" s="15">
        <f t="shared" ca="1" si="74"/>
        <v>0</v>
      </c>
      <c r="AF248" s="16">
        <f t="shared" ca="1" si="75"/>
        <v>0</v>
      </c>
      <c r="AG248" s="16" t="str">
        <f t="shared" ca="1" si="76"/>
        <v>No_Action</v>
      </c>
      <c r="AH248" s="15"/>
      <c r="AI248" s="15" t="str">
        <f t="shared" ca="1" si="77"/>
        <v>No_Action</v>
      </c>
      <c r="AJ248" s="15">
        <f t="shared" ca="1" si="78"/>
        <v>0</v>
      </c>
      <c r="AK248" s="15">
        <f t="shared" ca="1" si="79"/>
        <v>0</v>
      </c>
    </row>
    <row r="249" spans="1:37" ht="14.5" customHeight="1" x14ac:dyDescent="0.35">
      <c r="A249" s="12" t="s">
        <v>265</v>
      </c>
      <c r="B249" s="13">
        <f ca="1">IFERROR(__xludf.DUMMYFUNCTION("GOOGLEFINANCE(""NSE:""&amp;A249,""PRICE"")"),1249)</f>
        <v>1249</v>
      </c>
      <c r="C249" s="13">
        <f ca="1">IFERROR(__xludf.DUMMYFUNCTION("GOOGLEFINANCE(""NSE:""&amp;A249,""PRICEOPEN"")"),1225)</f>
        <v>1225</v>
      </c>
      <c r="D249" s="13">
        <f ca="1">IFERROR(__xludf.DUMMYFUNCTION("GOOGLEFINANCE(""NSE:""&amp;A249,""HIGH"")"),1251)</f>
        <v>1251</v>
      </c>
      <c r="E249" s="13">
        <f ca="1">IFERROR(__xludf.DUMMYFUNCTION("GOOGLEFINANCE(""NSE:""&amp;A249,""LOW"")"),1211.55)</f>
        <v>1211.55</v>
      </c>
      <c r="F249" s="13">
        <f ca="1">IFERROR(__xludf.DUMMYFUNCTION("GOOGLEFINANCE(""NSE:""&amp;A249,""closeyest"")"),1223.55)</f>
        <v>1223.55</v>
      </c>
      <c r="G249" s="14">
        <f t="shared" ca="1" si="60"/>
        <v>1.9215372297838269E-2</v>
      </c>
      <c r="H249" s="13">
        <f ca="1">IFERROR(__xludf.DUMMYFUNCTION("GOOGLEFINANCE(""NSE:""&amp;A249,""VOLUME"")"),85245)</f>
        <v>85245</v>
      </c>
      <c r="I249" s="13" t="str">
        <f ca="1">IFERROR(__xludf.DUMMYFUNCTION("AVERAGE(index(GOOGLEFINANCE(""NSE:""&amp;$A249, ""volume"", today()-21, today()-1), , 2))"),"#N/A")</f>
        <v>#N/A</v>
      </c>
      <c r="J249" s="14" t="e">
        <f t="shared" ca="1" si="61"/>
        <v>#VALUE!</v>
      </c>
      <c r="K249" s="13" t="str">
        <f ca="1">IFERROR(__xludf.DUMMYFUNCTION("AVERAGE(index(GOOGLEFINANCE(""NSE:""&amp;$A249, ""close"", today()-6, today()-1), , 2))"),"#N/A")</f>
        <v>#N/A</v>
      </c>
      <c r="L249" s="13" t="str">
        <f ca="1">IFERROR(__xludf.DUMMYFUNCTION("AVERAGE(index(GOOGLEFINANCE(""NSE:""&amp;$A249, ""close"", today()-14, today()-1), , 2))"),"#N/A")</f>
        <v>#N/A</v>
      </c>
      <c r="M249" s="13" t="str">
        <f ca="1">IFERROR(__xludf.DUMMYFUNCTION("AVERAGE(index(GOOGLEFINANCE(""NSE:""&amp;$A249, ""close"", today()-22, today()-1), , 2))"),"#N/A")</f>
        <v>#N/A</v>
      </c>
      <c r="N249" s="13" t="str">
        <f t="shared" ca="1" si="62"/>
        <v>No_Action</v>
      </c>
      <c r="O249" s="13" t="str">
        <f t="shared" ca="1" si="63"/>
        <v>No_Action</v>
      </c>
      <c r="P249" s="13" t="str">
        <f t="shared" ca="1" si="64"/>
        <v>No_Action</v>
      </c>
      <c r="Q249" s="13" t="str">
        <f t="shared" ca="1" si="65"/>
        <v>No_Action</v>
      </c>
      <c r="R249" s="15"/>
      <c r="S249" s="15" t="str">
        <f t="shared" ca="1" si="66"/>
        <v>NoNo</v>
      </c>
      <c r="T249" s="15"/>
      <c r="U249" s="15">
        <f t="shared" ca="1" si="67"/>
        <v>0</v>
      </c>
      <c r="V249" s="15">
        <f t="shared" ca="1" si="68"/>
        <v>0</v>
      </c>
      <c r="W249" s="15" t="str">
        <f t="shared" ca="1" si="69"/>
        <v>No_Action</v>
      </c>
      <c r="X249" s="15"/>
      <c r="Y249" s="15" t="str">
        <f t="shared" ca="1" si="70"/>
        <v>No_Action</v>
      </c>
      <c r="Z249" s="15">
        <f t="shared" ca="1" si="71"/>
        <v>0</v>
      </c>
      <c r="AA249" s="15">
        <f t="shared" ca="1" si="72"/>
        <v>0</v>
      </c>
      <c r="AB249" s="15"/>
      <c r="AC249" s="15" t="str">
        <f t="shared" ca="1" si="73"/>
        <v>NoNo</v>
      </c>
      <c r="AD249" s="15"/>
      <c r="AE249" s="15">
        <f t="shared" ca="1" si="74"/>
        <v>0</v>
      </c>
      <c r="AF249" s="16">
        <f t="shared" ca="1" si="75"/>
        <v>0</v>
      </c>
      <c r="AG249" s="16" t="str">
        <f t="shared" ca="1" si="76"/>
        <v>No_Action</v>
      </c>
      <c r="AH249" s="15"/>
      <c r="AI249" s="15" t="str">
        <f t="shared" ca="1" si="77"/>
        <v>No_Action</v>
      </c>
      <c r="AJ249" s="15">
        <f t="shared" ca="1" si="78"/>
        <v>0</v>
      </c>
      <c r="AK249" s="15">
        <f t="shared" ca="1" si="79"/>
        <v>0</v>
      </c>
    </row>
    <row r="250" spans="1:37" ht="14.5" customHeight="1" x14ac:dyDescent="0.35">
      <c r="A250" s="12" t="s">
        <v>266</v>
      </c>
      <c r="B250" s="13">
        <f ca="1">IFERROR(__xludf.DUMMYFUNCTION("GOOGLEFINANCE(""NSE:""&amp;A250,""PRICE"")"),2875.55)</f>
        <v>2875.55</v>
      </c>
      <c r="C250" s="13">
        <f ca="1">IFERROR(__xludf.DUMMYFUNCTION("GOOGLEFINANCE(""NSE:""&amp;A250,""PRICEOPEN"")"),2822.5)</f>
        <v>2822.5</v>
      </c>
      <c r="D250" s="13">
        <f ca="1">IFERROR(__xludf.DUMMYFUNCTION("GOOGLEFINANCE(""NSE:""&amp;A250,""HIGH"")"),2894)</f>
        <v>2894</v>
      </c>
      <c r="E250" s="13">
        <f ca="1">IFERROR(__xludf.DUMMYFUNCTION("GOOGLEFINANCE(""NSE:""&amp;A250,""LOW"")"),2808.05)</f>
        <v>2808.05</v>
      </c>
      <c r="F250" s="13">
        <f ca="1">IFERROR(__xludf.DUMMYFUNCTION("GOOGLEFINANCE(""NSE:""&amp;A250,""closeyest"")"),2819.05)</f>
        <v>2819.05</v>
      </c>
      <c r="G250" s="14">
        <f t="shared" ca="1" si="60"/>
        <v>1.8448644607118699E-2</v>
      </c>
      <c r="H250" s="13">
        <f ca="1">IFERROR(__xludf.DUMMYFUNCTION("GOOGLEFINANCE(""NSE:""&amp;A250,""VOLUME"")"),117162)</f>
        <v>117162</v>
      </c>
      <c r="I250" s="13" t="str">
        <f ca="1">IFERROR(__xludf.DUMMYFUNCTION("AVERAGE(index(GOOGLEFINANCE(""NSE:""&amp;$A250, ""volume"", today()-21, today()-1), , 2))"),"#N/A")</f>
        <v>#N/A</v>
      </c>
      <c r="J250" s="14" t="e">
        <f t="shared" ca="1" si="61"/>
        <v>#VALUE!</v>
      </c>
      <c r="K250" s="13" t="str">
        <f ca="1">IFERROR(__xludf.DUMMYFUNCTION("AVERAGE(index(GOOGLEFINANCE(""NSE:""&amp;$A250, ""close"", today()-6, today()-1), , 2))"),"#N/A")</f>
        <v>#N/A</v>
      </c>
      <c r="L250" s="13" t="str">
        <f ca="1">IFERROR(__xludf.DUMMYFUNCTION("AVERAGE(index(GOOGLEFINANCE(""NSE:""&amp;$A250, ""close"", today()-14, today()-1), , 2))"),"#N/A")</f>
        <v>#N/A</v>
      </c>
      <c r="M250" s="13" t="str">
        <f ca="1">IFERROR(__xludf.DUMMYFUNCTION("AVERAGE(index(GOOGLEFINANCE(""NSE:""&amp;$A250, ""close"", today()-22, today()-1), , 2))"),"#N/A")</f>
        <v>#N/A</v>
      </c>
      <c r="N250" s="13" t="str">
        <f t="shared" ca="1" si="62"/>
        <v>No_Action</v>
      </c>
      <c r="O250" s="13" t="str">
        <f t="shared" ca="1" si="63"/>
        <v>No_Action</v>
      </c>
      <c r="P250" s="13" t="str">
        <f t="shared" ca="1" si="64"/>
        <v>No_Action</v>
      </c>
      <c r="Q250" s="13" t="str">
        <f t="shared" ca="1" si="65"/>
        <v>No_Action</v>
      </c>
      <c r="R250" s="15"/>
      <c r="S250" s="15" t="str">
        <f t="shared" ca="1" si="66"/>
        <v>NoNo</v>
      </c>
      <c r="T250" s="15"/>
      <c r="U250" s="15">
        <f t="shared" ca="1" si="67"/>
        <v>0</v>
      </c>
      <c r="V250" s="15">
        <f t="shared" ca="1" si="68"/>
        <v>0</v>
      </c>
      <c r="W250" s="15" t="str">
        <f t="shared" ca="1" si="69"/>
        <v>No_Action</v>
      </c>
      <c r="X250" s="15"/>
      <c r="Y250" s="15" t="str">
        <f t="shared" ca="1" si="70"/>
        <v>No_Action</v>
      </c>
      <c r="Z250" s="15">
        <f t="shared" ca="1" si="71"/>
        <v>0</v>
      </c>
      <c r="AA250" s="15">
        <f t="shared" ca="1" si="72"/>
        <v>0</v>
      </c>
      <c r="AB250" s="15"/>
      <c r="AC250" s="15" t="str">
        <f t="shared" ca="1" si="73"/>
        <v>NoNo</v>
      </c>
      <c r="AD250" s="15"/>
      <c r="AE250" s="15">
        <f t="shared" ca="1" si="74"/>
        <v>0</v>
      </c>
      <c r="AF250" s="16">
        <f t="shared" ca="1" si="75"/>
        <v>0</v>
      </c>
      <c r="AG250" s="16" t="str">
        <f t="shared" ca="1" si="76"/>
        <v>No_Action</v>
      </c>
      <c r="AH250" s="15"/>
      <c r="AI250" s="15" t="str">
        <f t="shared" ca="1" si="77"/>
        <v>No_Action</v>
      </c>
      <c r="AJ250" s="15">
        <f t="shared" ca="1" si="78"/>
        <v>0</v>
      </c>
      <c r="AK250" s="15">
        <f t="shared" ca="1" si="79"/>
        <v>0</v>
      </c>
    </row>
    <row r="251" spans="1:37" ht="14.5" customHeight="1" x14ac:dyDescent="0.35">
      <c r="A251" s="12" t="s">
        <v>267</v>
      </c>
      <c r="B251" s="13">
        <f ca="1">IFERROR(__xludf.DUMMYFUNCTION("GOOGLEFINANCE(""NSE:""&amp;A251,""PRICE"")"),7434)</f>
        <v>7434</v>
      </c>
      <c r="C251" s="13">
        <f ca="1">IFERROR(__xludf.DUMMYFUNCTION("GOOGLEFINANCE(""NSE:""&amp;A251,""PRICEOPEN"")"),7317.95)</f>
        <v>7317.95</v>
      </c>
      <c r="D251" s="13">
        <f ca="1">IFERROR(__xludf.DUMMYFUNCTION("GOOGLEFINANCE(""NSE:""&amp;A251,""HIGH"")"),7451)</f>
        <v>7451</v>
      </c>
      <c r="E251" s="13">
        <f ca="1">IFERROR(__xludf.DUMMYFUNCTION("GOOGLEFINANCE(""NSE:""&amp;A251,""LOW"")"),7295.1)</f>
        <v>7295.1</v>
      </c>
      <c r="F251" s="13">
        <f ca="1">IFERROR(__xludf.DUMMYFUNCTION("GOOGLEFINANCE(""NSE:""&amp;A251,""closeyest"")"),7317.95)</f>
        <v>7317.95</v>
      </c>
      <c r="G251" s="14">
        <f t="shared" ca="1" si="60"/>
        <v>1.5610707559860127E-2</v>
      </c>
      <c r="H251" s="13">
        <f ca="1">IFERROR(__xludf.DUMMYFUNCTION("GOOGLEFINANCE(""NSE:""&amp;A251,""VOLUME"")"),228256)</f>
        <v>228256</v>
      </c>
      <c r="I251" s="13" t="str">
        <f ca="1">IFERROR(__xludf.DUMMYFUNCTION("AVERAGE(index(GOOGLEFINANCE(""NSE:""&amp;$A251, ""volume"", today()-21, today()-1), , 2))"),"#N/A")</f>
        <v>#N/A</v>
      </c>
      <c r="J251" s="14" t="e">
        <f t="shared" ca="1" si="61"/>
        <v>#VALUE!</v>
      </c>
      <c r="K251" s="13" t="str">
        <f ca="1">IFERROR(__xludf.DUMMYFUNCTION("AVERAGE(index(GOOGLEFINANCE(""NSE:""&amp;$A251, ""close"", today()-6, today()-1), , 2))"),"#N/A")</f>
        <v>#N/A</v>
      </c>
      <c r="L251" s="13" t="str">
        <f ca="1">IFERROR(__xludf.DUMMYFUNCTION("AVERAGE(index(GOOGLEFINANCE(""NSE:""&amp;$A251, ""close"", today()-14, today()-1), , 2))"),"#N/A")</f>
        <v>#N/A</v>
      </c>
      <c r="M251" s="13" t="str">
        <f ca="1">IFERROR(__xludf.DUMMYFUNCTION("AVERAGE(index(GOOGLEFINANCE(""NSE:""&amp;$A251, ""close"", today()-22, today()-1), , 2))"),"#N/A")</f>
        <v>#N/A</v>
      </c>
      <c r="N251" s="13" t="str">
        <f t="shared" ca="1" si="62"/>
        <v>No_Action</v>
      </c>
      <c r="O251" s="13" t="str">
        <f t="shared" ca="1" si="63"/>
        <v>No_Action</v>
      </c>
      <c r="P251" s="13" t="str">
        <f t="shared" ca="1" si="64"/>
        <v>No_Action</v>
      </c>
      <c r="Q251" s="13" t="str">
        <f t="shared" ca="1" si="65"/>
        <v>No_Action</v>
      </c>
      <c r="R251" s="15"/>
      <c r="S251" s="15" t="str">
        <f t="shared" ca="1" si="66"/>
        <v>NoNo</v>
      </c>
      <c r="T251" s="15"/>
      <c r="U251" s="15">
        <f t="shared" ca="1" si="67"/>
        <v>0</v>
      </c>
      <c r="V251" s="15">
        <f t="shared" ca="1" si="68"/>
        <v>0</v>
      </c>
      <c r="W251" s="15" t="str">
        <f t="shared" ca="1" si="69"/>
        <v>No_Action</v>
      </c>
      <c r="X251" s="15"/>
      <c r="Y251" s="15" t="str">
        <f t="shared" ca="1" si="70"/>
        <v>No_Action</v>
      </c>
      <c r="Z251" s="15">
        <f t="shared" ca="1" si="71"/>
        <v>0</v>
      </c>
      <c r="AA251" s="15">
        <f t="shared" ca="1" si="72"/>
        <v>0</v>
      </c>
      <c r="AB251" s="15"/>
      <c r="AC251" s="15" t="str">
        <f t="shared" ca="1" si="73"/>
        <v>NoNo</v>
      </c>
      <c r="AD251" s="15"/>
      <c r="AE251" s="15">
        <f t="shared" ca="1" si="74"/>
        <v>0</v>
      </c>
      <c r="AF251" s="16">
        <f t="shared" ca="1" si="75"/>
        <v>0</v>
      </c>
      <c r="AG251" s="16" t="str">
        <f t="shared" ca="1" si="76"/>
        <v>No_Action</v>
      </c>
      <c r="AH251" s="15"/>
      <c r="AI251" s="15" t="str">
        <f t="shared" ca="1" si="77"/>
        <v>No_Action</v>
      </c>
      <c r="AJ251" s="15">
        <f t="shared" ca="1" si="78"/>
        <v>0</v>
      </c>
      <c r="AK251" s="15">
        <f t="shared" ca="1" si="79"/>
        <v>0</v>
      </c>
    </row>
    <row r="252" spans="1:37" ht="14.5" customHeight="1" x14ac:dyDescent="0.35">
      <c r="A252" s="12" t="s">
        <v>268</v>
      </c>
      <c r="B252" s="13">
        <f ca="1">IFERROR(__xludf.DUMMYFUNCTION("GOOGLEFINANCE(""NSE:""&amp;A252,""PRICE"")"),329.45)</f>
        <v>329.45</v>
      </c>
      <c r="C252" s="13">
        <f ca="1">IFERROR(__xludf.DUMMYFUNCTION("GOOGLEFINANCE(""NSE:""&amp;A252,""PRICEOPEN"")"),327.75)</f>
        <v>327.75</v>
      </c>
      <c r="D252" s="13">
        <f ca="1">IFERROR(__xludf.DUMMYFUNCTION("GOOGLEFINANCE(""NSE:""&amp;A252,""HIGH"")"),330.65)</f>
        <v>330.65</v>
      </c>
      <c r="E252" s="13">
        <f ca="1">IFERROR(__xludf.DUMMYFUNCTION("GOOGLEFINANCE(""NSE:""&amp;A252,""LOW"")"),326.7)</f>
        <v>326.7</v>
      </c>
      <c r="F252" s="13">
        <f ca="1">IFERROR(__xludf.DUMMYFUNCTION("GOOGLEFINANCE(""NSE:""&amp;A252,""closeyest"")"),328.9)</f>
        <v>328.9</v>
      </c>
      <c r="G252" s="14">
        <f t="shared" ca="1" si="60"/>
        <v>5.1601153437547086E-3</v>
      </c>
      <c r="H252" s="13">
        <f ca="1">IFERROR(__xludf.DUMMYFUNCTION("GOOGLEFINANCE(""NSE:""&amp;A252,""VOLUME"")"),9376929)</f>
        <v>9376929</v>
      </c>
      <c r="I252" s="13" t="str">
        <f ca="1">IFERROR(__xludf.DUMMYFUNCTION("AVERAGE(index(GOOGLEFINANCE(""NSE:""&amp;$A252, ""volume"", today()-21, today()-1), , 2))"),"#N/A")</f>
        <v>#N/A</v>
      </c>
      <c r="J252" s="14" t="e">
        <f t="shared" ca="1" si="61"/>
        <v>#VALUE!</v>
      </c>
      <c r="K252" s="13" t="str">
        <f ca="1">IFERROR(__xludf.DUMMYFUNCTION("AVERAGE(index(GOOGLEFINANCE(""NSE:""&amp;$A252, ""close"", today()-6, today()-1), , 2))"),"#N/A")</f>
        <v>#N/A</v>
      </c>
      <c r="L252" s="13" t="str">
        <f ca="1">IFERROR(__xludf.DUMMYFUNCTION("AVERAGE(index(GOOGLEFINANCE(""NSE:""&amp;$A252, ""close"", today()-14, today()-1), , 2))"),"#N/A")</f>
        <v>#N/A</v>
      </c>
      <c r="M252" s="13" t="str">
        <f ca="1">IFERROR(__xludf.DUMMYFUNCTION("AVERAGE(index(GOOGLEFINANCE(""NSE:""&amp;$A252, ""close"", today()-22, today()-1), , 2))"),"#N/A")</f>
        <v>#N/A</v>
      </c>
      <c r="N252" s="13" t="str">
        <f t="shared" ca="1" si="62"/>
        <v>No_Action</v>
      </c>
      <c r="O252" s="13" t="str">
        <f t="shared" ca="1" si="63"/>
        <v>No_Action</v>
      </c>
      <c r="P252" s="13" t="str">
        <f t="shared" ca="1" si="64"/>
        <v>No_Action</v>
      </c>
      <c r="Q252" s="13" t="str">
        <f t="shared" ca="1" si="65"/>
        <v>No_Action</v>
      </c>
      <c r="R252" s="15"/>
      <c r="S252" s="15" t="str">
        <f t="shared" ca="1" si="66"/>
        <v>NoNo</v>
      </c>
      <c r="T252" s="15"/>
      <c r="U252" s="15">
        <f t="shared" ca="1" si="67"/>
        <v>0</v>
      </c>
      <c r="V252" s="15">
        <f t="shared" ca="1" si="68"/>
        <v>0</v>
      </c>
      <c r="W252" s="15" t="str">
        <f t="shared" ca="1" si="69"/>
        <v>No_Action</v>
      </c>
      <c r="X252" s="15"/>
      <c r="Y252" s="15" t="str">
        <f t="shared" ca="1" si="70"/>
        <v>No_Action</v>
      </c>
      <c r="Z252" s="15">
        <f t="shared" ca="1" si="71"/>
        <v>0</v>
      </c>
      <c r="AA252" s="15">
        <f t="shared" ca="1" si="72"/>
        <v>0</v>
      </c>
      <c r="AB252" s="15"/>
      <c r="AC252" s="15" t="str">
        <f t="shared" ca="1" si="73"/>
        <v>NoNo</v>
      </c>
      <c r="AD252" s="15"/>
      <c r="AE252" s="15">
        <f t="shared" ca="1" si="74"/>
        <v>0</v>
      </c>
      <c r="AF252" s="16">
        <f t="shared" ca="1" si="75"/>
        <v>0</v>
      </c>
      <c r="AG252" s="16" t="str">
        <f t="shared" ca="1" si="76"/>
        <v>No_Action</v>
      </c>
      <c r="AH252" s="15"/>
      <c r="AI252" s="15" t="str">
        <f t="shared" ca="1" si="77"/>
        <v>No_Action</v>
      </c>
      <c r="AJ252" s="15">
        <f t="shared" ca="1" si="78"/>
        <v>0</v>
      </c>
      <c r="AK252" s="15">
        <f t="shared" ca="1" si="79"/>
        <v>0</v>
      </c>
    </row>
    <row r="253" spans="1:37" ht="14.5" customHeight="1" x14ac:dyDescent="0.35">
      <c r="A253" s="12" t="s">
        <v>269</v>
      </c>
      <c r="B253" s="13" t="str">
        <f ca="1">IFERROR(__xludf.DUMMYFUNCTION("GOOGLEFINANCE(""NSE:""&amp;A253,""PRICE"")"),"#N/A")</f>
        <v>#N/A</v>
      </c>
      <c r="C253" s="13" t="str">
        <f ca="1">IFERROR(__xludf.DUMMYFUNCTION("GOOGLEFINANCE(""NSE:""&amp;A253,""PRICEOPEN"")"),"#N/A")</f>
        <v>#N/A</v>
      </c>
      <c r="D253" s="13" t="str">
        <f ca="1">IFERROR(__xludf.DUMMYFUNCTION("GOOGLEFINANCE(""NSE:""&amp;A253,""HIGH"")"),"#N/A")</f>
        <v>#N/A</v>
      </c>
      <c r="E253" s="13" t="str">
        <f ca="1">IFERROR(__xludf.DUMMYFUNCTION("GOOGLEFINANCE(""NSE:""&amp;A253,""LOW"")"),"#N/A")</f>
        <v>#N/A</v>
      </c>
      <c r="F253" s="13" t="str">
        <f ca="1">IFERROR(__xludf.DUMMYFUNCTION("GOOGLEFINANCE(""NSE:""&amp;A253,""closeyest"")"),"#N/A")</f>
        <v>#N/A</v>
      </c>
      <c r="G253" s="14" t="e">
        <f t="shared" ca="1" si="60"/>
        <v>#VALUE!</v>
      </c>
      <c r="H253" s="13" t="str">
        <f ca="1">IFERROR(__xludf.DUMMYFUNCTION("GOOGLEFINANCE(""NSE:""&amp;A253,""VOLUME"")"),"#N/A")</f>
        <v>#N/A</v>
      </c>
      <c r="I253" s="13" t="str">
        <f ca="1">IFERROR(__xludf.DUMMYFUNCTION("AVERAGE(index(GOOGLEFINANCE(""NSE:""&amp;$A253, ""volume"", today()-21, today()-1), , 2))"),"#N/A")</f>
        <v>#N/A</v>
      </c>
      <c r="J253" s="14" t="e">
        <f t="shared" ca="1" si="61"/>
        <v>#VALUE!</v>
      </c>
      <c r="K253" s="13" t="str">
        <f ca="1">IFERROR(__xludf.DUMMYFUNCTION("AVERAGE(index(GOOGLEFINANCE(""NSE:""&amp;$A253, ""close"", today()-6, today()-1), , 2))"),"#N/A")</f>
        <v>#N/A</v>
      </c>
      <c r="L253" s="13" t="str">
        <f ca="1">IFERROR(__xludf.DUMMYFUNCTION("AVERAGE(index(GOOGLEFINANCE(""NSE:""&amp;$A253, ""close"", today()-14, today()-1), , 2))"),"#N/A")</f>
        <v>#N/A</v>
      </c>
      <c r="M253" s="13" t="str">
        <f ca="1">IFERROR(__xludf.DUMMYFUNCTION("AVERAGE(index(GOOGLEFINANCE(""NSE:""&amp;$A253, ""close"", today()-22, today()-1), , 2))"),"#N/A")</f>
        <v>#N/A</v>
      </c>
      <c r="N253" s="13" t="str">
        <f t="shared" ca="1" si="62"/>
        <v>No_Action</v>
      </c>
      <c r="O253" s="13" t="str">
        <f t="shared" ca="1" si="63"/>
        <v>No_Action</v>
      </c>
      <c r="P253" s="13" t="str">
        <f t="shared" ca="1" si="64"/>
        <v>No_Action</v>
      </c>
      <c r="Q253" s="13" t="str">
        <f t="shared" ca="1" si="65"/>
        <v>No_Action</v>
      </c>
      <c r="R253" s="15"/>
      <c r="S253" s="15" t="str">
        <f t="shared" ca="1" si="66"/>
        <v>NoNo</v>
      </c>
      <c r="T253" s="15"/>
      <c r="U253" s="15">
        <f t="shared" ca="1" si="67"/>
        <v>0</v>
      </c>
      <c r="V253" s="15">
        <f t="shared" ca="1" si="68"/>
        <v>0</v>
      </c>
      <c r="W253" s="15" t="str">
        <f t="shared" ca="1" si="69"/>
        <v>No_Action</v>
      </c>
      <c r="X253" s="15"/>
      <c r="Y253" s="15" t="str">
        <f t="shared" ca="1" si="70"/>
        <v>No_Action</v>
      </c>
      <c r="Z253" s="15">
        <f t="shared" ca="1" si="71"/>
        <v>0</v>
      </c>
      <c r="AA253" s="15">
        <f t="shared" ca="1" si="72"/>
        <v>0</v>
      </c>
      <c r="AB253" s="15"/>
      <c r="AC253" s="15" t="str">
        <f t="shared" ca="1" si="73"/>
        <v>NoNo</v>
      </c>
      <c r="AD253" s="15"/>
      <c r="AE253" s="15">
        <f t="shared" ca="1" si="74"/>
        <v>0</v>
      </c>
      <c r="AF253" s="16">
        <f t="shared" ca="1" si="75"/>
        <v>0</v>
      </c>
      <c r="AG253" s="16" t="str">
        <f t="shared" ca="1" si="76"/>
        <v>No_Action</v>
      </c>
      <c r="AH253" s="15"/>
      <c r="AI253" s="15" t="str">
        <f t="shared" ca="1" si="77"/>
        <v>No_Action</v>
      </c>
      <c r="AJ253" s="15">
        <f t="shared" ca="1" si="78"/>
        <v>0</v>
      </c>
      <c r="AK253" s="15">
        <f t="shared" ca="1" si="79"/>
        <v>0</v>
      </c>
    </row>
    <row r="254" spans="1:37" ht="14.5" customHeight="1" x14ac:dyDescent="0.35">
      <c r="A254" s="12" t="s">
        <v>270</v>
      </c>
      <c r="B254" s="13">
        <f ca="1">IFERROR(__xludf.DUMMYFUNCTION("GOOGLEFINANCE(""NSE:""&amp;A254,""PRICE"")"),169.25)</f>
        <v>169.25</v>
      </c>
      <c r="C254" s="13">
        <f ca="1">IFERROR(__xludf.DUMMYFUNCTION("GOOGLEFINANCE(""NSE:""&amp;A254,""PRICEOPEN"")"),171)</f>
        <v>171</v>
      </c>
      <c r="D254" s="13">
        <f ca="1">IFERROR(__xludf.DUMMYFUNCTION("GOOGLEFINANCE(""NSE:""&amp;A254,""HIGH"")"),172.3)</f>
        <v>172.3</v>
      </c>
      <c r="E254" s="13">
        <f ca="1">IFERROR(__xludf.DUMMYFUNCTION("GOOGLEFINANCE(""NSE:""&amp;A254,""LOW"")"),168.71)</f>
        <v>168.71</v>
      </c>
      <c r="F254" s="13">
        <f ca="1">IFERROR(__xludf.DUMMYFUNCTION("GOOGLEFINANCE(""NSE:""&amp;A254,""closeyest"")"),170.89)</f>
        <v>170.89</v>
      </c>
      <c r="G254" s="14">
        <f t="shared" ca="1" si="60"/>
        <v>-1.03397341211226E-2</v>
      </c>
      <c r="H254" s="13">
        <f ca="1">IFERROR(__xludf.DUMMYFUNCTION("GOOGLEFINANCE(""NSE:""&amp;A254,""VOLUME"")"),772864)</f>
        <v>772864</v>
      </c>
      <c r="I254" s="13" t="str">
        <f ca="1">IFERROR(__xludf.DUMMYFUNCTION("AVERAGE(index(GOOGLEFINANCE(""NSE:""&amp;$A254, ""volume"", today()-21, today()-1), , 2))"),"#N/A")</f>
        <v>#N/A</v>
      </c>
      <c r="J254" s="14" t="e">
        <f t="shared" ca="1" si="61"/>
        <v>#VALUE!</v>
      </c>
      <c r="K254" s="13" t="str">
        <f ca="1">IFERROR(__xludf.DUMMYFUNCTION("AVERAGE(index(GOOGLEFINANCE(""NSE:""&amp;$A254, ""close"", today()-6, today()-1), , 2))"),"#N/A")</f>
        <v>#N/A</v>
      </c>
      <c r="L254" s="13" t="str">
        <f ca="1">IFERROR(__xludf.DUMMYFUNCTION("AVERAGE(index(GOOGLEFINANCE(""NSE:""&amp;$A254, ""close"", today()-14, today()-1), , 2))"),"#N/A")</f>
        <v>#N/A</v>
      </c>
      <c r="M254" s="13" t="str">
        <f ca="1">IFERROR(__xludf.DUMMYFUNCTION("AVERAGE(index(GOOGLEFINANCE(""NSE:""&amp;$A254, ""close"", today()-22, today()-1), , 2))"),"#N/A")</f>
        <v>#N/A</v>
      </c>
      <c r="N254" s="13" t="str">
        <f t="shared" ca="1" si="62"/>
        <v>No_Action</v>
      </c>
      <c r="O254" s="13" t="str">
        <f t="shared" ca="1" si="63"/>
        <v>No_Action</v>
      </c>
      <c r="P254" s="13" t="str">
        <f t="shared" ca="1" si="64"/>
        <v>No_Action</v>
      </c>
      <c r="Q254" s="13" t="str">
        <f t="shared" ca="1" si="65"/>
        <v>No_Action</v>
      </c>
      <c r="R254" s="15"/>
      <c r="S254" s="15" t="str">
        <f t="shared" ca="1" si="66"/>
        <v>NoNo</v>
      </c>
      <c r="T254" s="15"/>
      <c r="U254" s="15">
        <f t="shared" ca="1" si="67"/>
        <v>0</v>
      </c>
      <c r="V254" s="15">
        <f t="shared" ca="1" si="68"/>
        <v>0</v>
      </c>
      <c r="W254" s="15" t="str">
        <f t="shared" ca="1" si="69"/>
        <v>No_Action</v>
      </c>
      <c r="X254" s="15"/>
      <c r="Y254" s="15" t="str">
        <f t="shared" ca="1" si="70"/>
        <v>No_Action</v>
      </c>
      <c r="Z254" s="15">
        <f t="shared" ca="1" si="71"/>
        <v>0</v>
      </c>
      <c r="AA254" s="15">
        <f t="shared" ca="1" si="72"/>
        <v>0</v>
      </c>
      <c r="AB254" s="15"/>
      <c r="AC254" s="15" t="str">
        <f t="shared" ca="1" si="73"/>
        <v>NoNo</v>
      </c>
      <c r="AD254" s="15"/>
      <c r="AE254" s="15">
        <f t="shared" ca="1" si="74"/>
        <v>0</v>
      </c>
      <c r="AF254" s="16">
        <f t="shared" ca="1" si="75"/>
        <v>0</v>
      </c>
      <c r="AG254" s="16" t="str">
        <f t="shared" ca="1" si="76"/>
        <v>No_Action</v>
      </c>
      <c r="AH254" s="15"/>
      <c r="AI254" s="15" t="str">
        <f t="shared" ca="1" si="77"/>
        <v>No_Action</v>
      </c>
      <c r="AJ254" s="15">
        <f t="shared" ca="1" si="78"/>
        <v>0</v>
      </c>
      <c r="AK254" s="15">
        <f t="shared" ca="1" si="79"/>
        <v>0</v>
      </c>
    </row>
    <row r="255" spans="1:37" ht="14.5" customHeight="1" x14ac:dyDescent="0.35">
      <c r="A255" s="12" t="s">
        <v>271</v>
      </c>
      <c r="B255" s="13">
        <f ca="1">IFERROR(__xludf.DUMMYFUNCTION("GOOGLEFINANCE(""NSE:""&amp;A255,""PRICE"")"),673.4)</f>
        <v>673.4</v>
      </c>
      <c r="C255" s="13">
        <f ca="1">IFERROR(__xludf.DUMMYFUNCTION("GOOGLEFINANCE(""NSE:""&amp;A255,""PRICEOPEN"")"),664.85)</f>
        <v>664.85</v>
      </c>
      <c r="D255" s="13">
        <f ca="1">IFERROR(__xludf.DUMMYFUNCTION("GOOGLEFINANCE(""NSE:""&amp;A255,""HIGH"")"),680)</f>
        <v>680</v>
      </c>
      <c r="E255" s="13">
        <f ca="1">IFERROR(__xludf.DUMMYFUNCTION("GOOGLEFINANCE(""NSE:""&amp;A255,""LOW"")"),662.55)</f>
        <v>662.55</v>
      </c>
      <c r="F255" s="13">
        <f ca="1">IFERROR(__xludf.DUMMYFUNCTION("GOOGLEFINANCE(""NSE:""&amp;A255,""closeyest"")"),664.85)</f>
        <v>664.85</v>
      </c>
      <c r="G255" s="14">
        <f t="shared" ca="1" si="60"/>
        <v>1.2696762696762629E-2</v>
      </c>
      <c r="H255" s="13">
        <f ca="1">IFERROR(__xludf.DUMMYFUNCTION("GOOGLEFINANCE(""NSE:""&amp;A255,""VOLUME"")"),196093)</f>
        <v>196093</v>
      </c>
      <c r="I255" s="13" t="str">
        <f ca="1">IFERROR(__xludf.DUMMYFUNCTION("AVERAGE(index(GOOGLEFINANCE(""NSE:""&amp;$A255, ""volume"", today()-21, today()-1), , 2))"),"#N/A")</f>
        <v>#N/A</v>
      </c>
      <c r="J255" s="14" t="e">
        <f t="shared" ca="1" si="61"/>
        <v>#VALUE!</v>
      </c>
      <c r="K255" s="13" t="str">
        <f ca="1">IFERROR(__xludf.DUMMYFUNCTION("AVERAGE(index(GOOGLEFINANCE(""NSE:""&amp;$A255, ""close"", today()-6, today()-1), , 2))"),"#N/A")</f>
        <v>#N/A</v>
      </c>
      <c r="L255" s="13" t="str">
        <f ca="1">IFERROR(__xludf.DUMMYFUNCTION("AVERAGE(index(GOOGLEFINANCE(""NSE:""&amp;$A255, ""close"", today()-14, today()-1), , 2))"),"#N/A")</f>
        <v>#N/A</v>
      </c>
      <c r="M255" s="13" t="str">
        <f ca="1">IFERROR(__xludf.DUMMYFUNCTION("AVERAGE(index(GOOGLEFINANCE(""NSE:""&amp;$A255, ""close"", today()-22, today()-1), , 2))"),"#N/A")</f>
        <v>#N/A</v>
      </c>
      <c r="N255" s="13" t="str">
        <f t="shared" ca="1" si="62"/>
        <v>No_Action</v>
      </c>
      <c r="O255" s="13" t="str">
        <f t="shared" ca="1" si="63"/>
        <v>No_Action</v>
      </c>
      <c r="P255" s="13" t="str">
        <f t="shared" ca="1" si="64"/>
        <v>No_Action</v>
      </c>
      <c r="Q255" s="13" t="str">
        <f t="shared" ca="1" si="65"/>
        <v>No_Action</v>
      </c>
      <c r="R255" s="15"/>
      <c r="S255" s="15" t="str">
        <f t="shared" ca="1" si="66"/>
        <v>NoNo</v>
      </c>
      <c r="T255" s="15"/>
      <c r="U255" s="15">
        <f t="shared" ca="1" si="67"/>
        <v>0</v>
      </c>
      <c r="V255" s="15">
        <f t="shared" ca="1" si="68"/>
        <v>0</v>
      </c>
      <c r="W255" s="15" t="str">
        <f t="shared" ca="1" si="69"/>
        <v>No_Action</v>
      </c>
      <c r="X255" s="15"/>
      <c r="Y255" s="15" t="str">
        <f t="shared" ca="1" si="70"/>
        <v>No_Action</v>
      </c>
      <c r="Z255" s="15">
        <f t="shared" ca="1" si="71"/>
        <v>0</v>
      </c>
      <c r="AA255" s="15">
        <f t="shared" ca="1" si="72"/>
        <v>0</v>
      </c>
      <c r="AB255" s="15"/>
      <c r="AC255" s="15" t="str">
        <f t="shared" ca="1" si="73"/>
        <v>NoNo</v>
      </c>
      <c r="AD255" s="15"/>
      <c r="AE255" s="15">
        <f t="shared" ca="1" si="74"/>
        <v>0</v>
      </c>
      <c r="AF255" s="16">
        <f t="shared" ca="1" si="75"/>
        <v>0</v>
      </c>
      <c r="AG255" s="16" t="str">
        <f t="shared" ca="1" si="76"/>
        <v>No_Action</v>
      </c>
      <c r="AH255" s="15"/>
      <c r="AI255" s="15" t="str">
        <f t="shared" ca="1" si="77"/>
        <v>No_Action</v>
      </c>
      <c r="AJ255" s="15">
        <f t="shared" ca="1" si="78"/>
        <v>0</v>
      </c>
      <c r="AK255" s="15">
        <f t="shared" ca="1" si="79"/>
        <v>0</v>
      </c>
    </row>
    <row r="256" spans="1:37" ht="14.5" customHeight="1" x14ac:dyDescent="0.35">
      <c r="A256" s="12" t="s">
        <v>272</v>
      </c>
      <c r="B256" s="13">
        <f ca="1">IFERROR(__xludf.DUMMYFUNCTION("GOOGLEFINANCE(""NSE:""&amp;A256,""PRICE"")"),1063)</f>
        <v>1063</v>
      </c>
      <c r="C256" s="13">
        <f ca="1">IFERROR(__xludf.DUMMYFUNCTION("GOOGLEFINANCE(""NSE:""&amp;A256,""PRICEOPEN"")"),1003.2)</f>
        <v>1003.2</v>
      </c>
      <c r="D256" s="13">
        <f ca="1">IFERROR(__xludf.DUMMYFUNCTION("GOOGLEFINANCE(""NSE:""&amp;A256,""HIGH"")"),1080)</f>
        <v>1080</v>
      </c>
      <c r="E256" s="13">
        <f ca="1">IFERROR(__xludf.DUMMYFUNCTION("GOOGLEFINANCE(""NSE:""&amp;A256,""LOW"")"),1003.2)</f>
        <v>1003.2</v>
      </c>
      <c r="F256" s="13">
        <f ca="1">IFERROR(__xludf.DUMMYFUNCTION("GOOGLEFINANCE(""NSE:""&amp;A256,""closeyest"")"),1017.1)</f>
        <v>1017.1</v>
      </c>
      <c r="G256" s="14">
        <f t="shared" ca="1" si="60"/>
        <v>5.6255879586077098E-2</v>
      </c>
      <c r="H256" s="13">
        <f ca="1">IFERROR(__xludf.DUMMYFUNCTION("GOOGLEFINANCE(""NSE:""&amp;A256,""VOLUME"")"),12210)</f>
        <v>12210</v>
      </c>
      <c r="I256" s="13" t="str">
        <f ca="1">IFERROR(__xludf.DUMMYFUNCTION("AVERAGE(index(GOOGLEFINANCE(""NSE:""&amp;$A256, ""volume"", today()-21, today()-1), , 2))"),"#N/A")</f>
        <v>#N/A</v>
      </c>
      <c r="J256" s="14" t="e">
        <f t="shared" ca="1" si="61"/>
        <v>#VALUE!</v>
      </c>
      <c r="K256" s="13" t="str">
        <f ca="1">IFERROR(__xludf.DUMMYFUNCTION("AVERAGE(index(GOOGLEFINANCE(""NSE:""&amp;$A256, ""close"", today()-6, today()-1), , 2))"),"#N/A")</f>
        <v>#N/A</v>
      </c>
      <c r="L256" s="13" t="str">
        <f ca="1">IFERROR(__xludf.DUMMYFUNCTION("AVERAGE(index(GOOGLEFINANCE(""NSE:""&amp;$A256, ""close"", today()-14, today()-1), , 2))"),"#N/A")</f>
        <v>#N/A</v>
      </c>
      <c r="M256" s="13" t="str">
        <f ca="1">IFERROR(__xludf.DUMMYFUNCTION("AVERAGE(index(GOOGLEFINANCE(""NSE:""&amp;$A256, ""close"", today()-22, today()-1), , 2))"),"#N/A")</f>
        <v>#N/A</v>
      </c>
      <c r="N256" s="13" t="str">
        <f t="shared" ca="1" si="62"/>
        <v>No_Action</v>
      </c>
      <c r="O256" s="13" t="str">
        <f t="shared" ca="1" si="63"/>
        <v>No_Action</v>
      </c>
      <c r="P256" s="13" t="str">
        <f t="shared" ca="1" si="64"/>
        <v>No_Action</v>
      </c>
      <c r="Q256" s="13" t="str">
        <f t="shared" ca="1" si="65"/>
        <v>No_Action</v>
      </c>
      <c r="R256" s="15"/>
      <c r="S256" s="15" t="str">
        <f t="shared" ca="1" si="66"/>
        <v>NoNo</v>
      </c>
      <c r="T256" s="15"/>
      <c r="U256" s="15">
        <f t="shared" ca="1" si="67"/>
        <v>0</v>
      </c>
      <c r="V256" s="15">
        <f t="shared" ca="1" si="68"/>
        <v>0</v>
      </c>
      <c r="W256" s="15" t="str">
        <f t="shared" ca="1" si="69"/>
        <v>No_Action</v>
      </c>
      <c r="X256" s="15"/>
      <c r="Y256" s="15" t="str">
        <f t="shared" ca="1" si="70"/>
        <v>No_Action</v>
      </c>
      <c r="Z256" s="15">
        <f t="shared" ca="1" si="71"/>
        <v>0</v>
      </c>
      <c r="AA256" s="15">
        <f t="shared" ca="1" si="72"/>
        <v>0</v>
      </c>
      <c r="AB256" s="15"/>
      <c r="AC256" s="15" t="str">
        <f t="shared" ca="1" si="73"/>
        <v>NoNo</v>
      </c>
      <c r="AD256" s="15"/>
      <c r="AE256" s="15">
        <f t="shared" ca="1" si="74"/>
        <v>0</v>
      </c>
      <c r="AF256" s="16">
        <f t="shared" ca="1" si="75"/>
        <v>0</v>
      </c>
      <c r="AG256" s="16" t="str">
        <f t="shared" ca="1" si="76"/>
        <v>No_Action</v>
      </c>
      <c r="AH256" s="15"/>
      <c r="AI256" s="15" t="str">
        <f t="shared" ca="1" si="77"/>
        <v>No_Action</v>
      </c>
      <c r="AJ256" s="15">
        <f t="shared" ca="1" si="78"/>
        <v>0</v>
      </c>
      <c r="AK256" s="15">
        <f t="shared" ca="1" si="79"/>
        <v>0</v>
      </c>
    </row>
    <row r="257" spans="1:37" ht="14.5" customHeight="1" x14ac:dyDescent="0.35">
      <c r="A257" s="12" t="s">
        <v>273</v>
      </c>
      <c r="B257" s="13">
        <f ca="1">IFERROR(__xludf.DUMMYFUNCTION("GOOGLEFINANCE(""NSE:""&amp;A257,""PRICE"")"),724)</f>
        <v>724</v>
      </c>
      <c r="C257" s="13">
        <f ca="1">IFERROR(__xludf.DUMMYFUNCTION("GOOGLEFINANCE(""NSE:""&amp;A257,""PRICEOPEN"")"),722.1)</f>
        <v>722.1</v>
      </c>
      <c r="D257" s="13">
        <f ca="1">IFERROR(__xludf.DUMMYFUNCTION("GOOGLEFINANCE(""NSE:""&amp;A257,""HIGH"")"),739.45)</f>
        <v>739.45</v>
      </c>
      <c r="E257" s="13">
        <f ca="1">IFERROR(__xludf.DUMMYFUNCTION("GOOGLEFINANCE(""NSE:""&amp;A257,""LOW"")"),715)</f>
        <v>715</v>
      </c>
      <c r="F257" s="13">
        <f ca="1">IFERROR(__xludf.DUMMYFUNCTION("GOOGLEFINANCE(""NSE:""&amp;A257,""closeyest"")"),725.3)</f>
        <v>725.3</v>
      </c>
      <c r="G257" s="14">
        <f t="shared" ca="1" si="60"/>
        <v>2.6243093922651618E-3</v>
      </c>
      <c r="H257" s="13">
        <f ca="1">IFERROR(__xludf.DUMMYFUNCTION("GOOGLEFINANCE(""NSE:""&amp;A257,""VOLUME"")"),50177)</f>
        <v>50177</v>
      </c>
      <c r="I257" s="13" t="str">
        <f ca="1">IFERROR(__xludf.DUMMYFUNCTION("AVERAGE(index(GOOGLEFINANCE(""NSE:""&amp;$A257, ""volume"", today()-21, today()-1), , 2))"),"#N/A")</f>
        <v>#N/A</v>
      </c>
      <c r="J257" s="14" t="e">
        <f t="shared" ca="1" si="61"/>
        <v>#VALUE!</v>
      </c>
      <c r="K257" s="13" t="str">
        <f ca="1">IFERROR(__xludf.DUMMYFUNCTION("AVERAGE(index(GOOGLEFINANCE(""NSE:""&amp;$A257, ""close"", today()-6, today()-1), , 2))"),"#N/A")</f>
        <v>#N/A</v>
      </c>
      <c r="L257" s="13" t="str">
        <f ca="1">IFERROR(__xludf.DUMMYFUNCTION("AVERAGE(index(GOOGLEFINANCE(""NSE:""&amp;$A257, ""close"", today()-14, today()-1), , 2))"),"#N/A")</f>
        <v>#N/A</v>
      </c>
      <c r="M257" s="13" t="str">
        <f ca="1">IFERROR(__xludf.DUMMYFUNCTION("AVERAGE(index(GOOGLEFINANCE(""NSE:""&amp;$A257, ""close"", today()-22, today()-1), , 2))"),"#N/A")</f>
        <v>#N/A</v>
      </c>
      <c r="N257" s="13" t="str">
        <f t="shared" ca="1" si="62"/>
        <v>No_Action</v>
      </c>
      <c r="O257" s="13" t="str">
        <f t="shared" ca="1" si="63"/>
        <v>No_Action</v>
      </c>
      <c r="P257" s="13" t="str">
        <f t="shared" ca="1" si="64"/>
        <v>No_Action</v>
      </c>
      <c r="Q257" s="13" t="str">
        <f t="shared" ca="1" si="65"/>
        <v>No_Action</v>
      </c>
      <c r="R257" s="15"/>
      <c r="S257" s="15" t="str">
        <f t="shared" ca="1" si="66"/>
        <v>NoNo</v>
      </c>
      <c r="T257" s="15"/>
      <c r="U257" s="15">
        <f t="shared" ca="1" si="67"/>
        <v>0</v>
      </c>
      <c r="V257" s="15">
        <f t="shared" ca="1" si="68"/>
        <v>0</v>
      </c>
      <c r="W257" s="15" t="str">
        <f t="shared" ca="1" si="69"/>
        <v>No_Action</v>
      </c>
      <c r="X257" s="15"/>
      <c r="Y257" s="15" t="str">
        <f t="shared" ca="1" si="70"/>
        <v>No_Action</v>
      </c>
      <c r="Z257" s="15">
        <f t="shared" ca="1" si="71"/>
        <v>0</v>
      </c>
      <c r="AA257" s="15">
        <f t="shared" ca="1" si="72"/>
        <v>0</v>
      </c>
      <c r="AB257" s="15"/>
      <c r="AC257" s="15" t="str">
        <f t="shared" ca="1" si="73"/>
        <v>NoNo</v>
      </c>
      <c r="AD257" s="15"/>
      <c r="AE257" s="15">
        <f t="shared" ca="1" si="74"/>
        <v>0</v>
      </c>
      <c r="AF257" s="16">
        <f t="shared" ca="1" si="75"/>
        <v>0</v>
      </c>
      <c r="AG257" s="16" t="str">
        <f t="shared" ca="1" si="76"/>
        <v>No_Action</v>
      </c>
      <c r="AH257" s="15"/>
      <c r="AI257" s="15" t="str">
        <f t="shared" ca="1" si="77"/>
        <v>No_Action</v>
      </c>
      <c r="AJ257" s="15">
        <f t="shared" ca="1" si="78"/>
        <v>0</v>
      </c>
      <c r="AK257" s="15">
        <f t="shared" ca="1" si="79"/>
        <v>0</v>
      </c>
    </row>
    <row r="258" spans="1:37" ht="14.5" customHeight="1" x14ac:dyDescent="0.35">
      <c r="A258" s="12" t="s">
        <v>274</v>
      </c>
      <c r="B258" s="13">
        <f ca="1">IFERROR(__xludf.DUMMYFUNCTION("GOOGLEFINANCE(""NSE:""&amp;A258,""PRICE"")"),440.55)</f>
        <v>440.55</v>
      </c>
      <c r="C258" s="13">
        <f ca="1">IFERROR(__xludf.DUMMYFUNCTION("GOOGLEFINANCE(""NSE:""&amp;A258,""PRICEOPEN"")"),438.65)</f>
        <v>438.65</v>
      </c>
      <c r="D258" s="13">
        <f ca="1">IFERROR(__xludf.DUMMYFUNCTION("GOOGLEFINANCE(""NSE:""&amp;A258,""HIGH"")"),444.9)</f>
        <v>444.9</v>
      </c>
      <c r="E258" s="13">
        <f ca="1">IFERROR(__xludf.DUMMYFUNCTION("GOOGLEFINANCE(""NSE:""&amp;A258,""LOW"")"),436.65)</f>
        <v>436.65</v>
      </c>
      <c r="F258" s="13">
        <f ca="1">IFERROR(__xludf.DUMMYFUNCTION("GOOGLEFINANCE(""NSE:""&amp;A258,""closeyest"")"),435.85)</f>
        <v>435.85</v>
      </c>
      <c r="G258" s="14">
        <f t="shared" ref="G258:G321" ca="1" si="80">(B258-C258)/B258</f>
        <v>4.3127908296448393E-3</v>
      </c>
      <c r="H258" s="13">
        <f ca="1">IFERROR(__xludf.DUMMYFUNCTION("GOOGLEFINANCE(""NSE:""&amp;A258,""VOLUME"")"),2964318)</f>
        <v>2964318</v>
      </c>
      <c r="I258" s="13" t="str">
        <f ca="1">IFERROR(__xludf.DUMMYFUNCTION("AVERAGE(index(GOOGLEFINANCE(""NSE:""&amp;$A258, ""volume"", today()-21, today()-1), , 2))"),"#N/A")</f>
        <v>#N/A</v>
      </c>
      <c r="J258" s="14" t="e">
        <f t="shared" ref="J258:J321" ca="1" si="81">(H258-I258)/I258</f>
        <v>#VALUE!</v>
      </c>
      <c r="K258" s="13" t="str">
        <f ca="1">IFERROR(__xludf.DUMMYFUNCTION("AVERAGE(index(GOOGLEFINANCE(""NSE:""&amp;$A258, ""close"", today()-6, today()-1), , 2))"),"#N/A")</f>
        <v>#N/A</v>
      </c>
      <c r="L258" s="13" t="str">
        <f ca="1">IFERROR(__xludf.DUMMYFUNCTION("AVERAGE(index(GOOGLEFINANCE(""NSE:""&amp;$A258, ""close"", today()-14, today()-1), , 2))"),"#N/A")</f>
        <v>#N/A</v>
      </c>
      <c r="M258" s="13" t="str">
        <f ca="1">IFERROR(__xludf.DUMMYFUNCTION("AVERAGE(index(GOOGLEFINANCE(""NSE:""&amp;$A258, ""close"", today()-22, today()-1), , 2))"),"#N/A")</f>
        <v>#N/A</v>
      </c>
      <c r="N258" s="13" t="str">
        <f t="shared" ref="N258:N321" ca="1" si="82">AG258</f>
        <v>No_Action</v>
      </c>
      <c r="O258" s="13" t="str">
        <f t="shared" ref="O258:O321" ca="1" si="83">AI258</f>
        <v>No_Action</v>
      </c>
      <c r="P258" s="13" t="str">
        <f t="shared" ref="P258:P321" ca="1" si="84">W258</f>
        <v>No_Action</v>
      </c>
      <c r="Q258" s="13" t="str">
        <f t="shared" ref="Q258:Q321" ca="1" si="85">Y258</f>
        <v>No_Action</v>
      </c>
      <c r="R258" s="15"/>
      <c r="S258" s="15" t="str">
        <f t="shared" ref="S258:S321" ca="1" si="86">LEFT(W258,2)&amp;LEFT(Y258,2)</f>
        <v>NoNo</v>
      </c>
      <c r="T258" s="15"/>
      <c r="U258" s="15">
        <f t="shared" ref="U258:U321" ca="1" si="87">IF(K258&lt;L258,1,0)</f>
        <v>0</v>
      </c>
      <c r="V258" s="15">
        <f t="shared" ref="V258:V321" ca="1" si="88">IF(H258&gt;I258,1,0)</f>
        <v>0</v>
      </c>
      <c r="W258" s="15" t="str">
        <f t="shared" ref="W258:W321" ca="1" si="89">IF(SUM(U258:V258)=2,"Anticipatory_Sell","No_Action")</f>
        <v>No_Action</v>
      </c>
      <c r="X258" s="15"/>
      <c r="Y258" s="15" t="str">
        <f t="shared" ref="Y258:Y321" ca="1" si="90">IF(SUM(Z258:AA258)=2,"Confirm_Sell","No_Action")</f>
        <v>No_Action</v>
      </c>
      <c r="Z258" s="15">
        <f t="shared" ref="Z258:Z321" ca="1" si="91">IF(H258&gt;I258,1,0)</f>
        <v>0</v>
      </c>
      <c r="AA258" s="15">
        <f t="shared" ref="AA258:AA321" ca="1" si="92">IF(K258&lt;M258,1,0)</f>
        <v>0</v>
      </c>
      <c r="AB258" s="15"/>
      <c r="AC258" s="15" t="str">
        <f t="shared" ref="AC258:AC321" ca="1" si="93">LEFT(AG258,2)&amp;LEFT(AI258,2)</f>
        <v>NoNo</v>
      </c>
      <c r="AD258" s="15"/>
      <c r="AE258" s="15">
        <f t="shared" ref="AE258:AE321" ca="1" si="94">IF(K258&gt;L258,1,0)</f>
        <v>0</v>
      </c>
      <c r="AF258" s="16">
        <f t="shared" ref="AF258:AF321" ca="1" si="95">IF(H258&gt;I258,1,0)</f>
        <v>0</v>
      </c>
      <c r="AG258" s="16" t="str">
        <f t="shared" ref="AG258:AG321" ca="1" si="96">IF(SUM(AE258:AF258)=2,"Anticipatory_Buy","No_Action")</f>
        <v>No_Action</v>
      </c>
      <c r="AH258" s="15"/>
      <c r="AI258" s="15" t="str">
        <f t="shared" ref="AI258:AI321" ca="1" si="97">IF(SUM(AJ258:AK258)=2,"Confirm_Buy","No_Action")</f>
        <v>No_Action</v>
      </c>
      <c r="AJ258" s="15">
        <f t="shared" ref="AJ258:AJ321" ca="1" si="98">IF(H258&gt;I258,1,0)</f>
        <v>0</v>
      </c>
      <c r="AK258" s="15">
        <f t="shared" ref="AK258:AK321" ca="1" si="99">IF(K258&gt;M258,1,0)</f>
        <v>0</v>
      </c>
    </row>
    <row r="259" spans="1:37" ht="14.5" customHeight="1" x14ac:dyDescent="0.35">
      <c r="A259" s="12" t="s">
        <v>275</v>
      </c>
      <c r="B259" s="13">
        <f ca="1">IFERROR(__xludf.DUMMYFUNCTION("GOOGLEFINANCE(""NSE:""&amp;A259,""PRICE"")"),1668.95)</f>
        <v>1668.95</v>
      </c>
      <c r="C259" s="13">
        <f ca="1">IFERROR(__xludf.DUMMYFUNCTION("GOOGLEFINANCE(""NSE:""&amp;A259,""PRICEOPEN"")"),1649.8)</f>
        <v>1649.8</v>
      </c>
      <c r="D259" s="13">
        <f ca="1">IFERROR(__xludf.DUMMYFUNCTION("GOOGLEFINANCE(""NSE:""&amp;A259,""HIGH"")"),1680)</f>
        <v>1680</v>
      </c>
      <c r="E259" s="13">
        <f ca="1">IFERROR(__xludf.DUMMYFUNCTION("GOOGLEFINANCE(""NSE:""&amp;A259,""LOW"")"),1628)</f>
        <v>1628</v>
      </c>
      <c r="F259" s="13">
        <f ca="1">IFERROR(__xludf.DUMMYFUNCTION("GOOGLEFINANCE(""NSE:""&amp;A259,""closeyest"")"),1642.95)</f>
        <v>1642.95</v>
      </c>
      <c r="G259" s="14">
        <f t="shared" ca="1" si="80"/>
        <v>1.1474280236076629E-2</v>
      </c>
      <c r="H259" s="13">
        <f ca="1">IFERROR(__xludf.DUMMYFUNCTION("GOOGLEFINANCE(""NSE:""&amp;A259,""VOLUME"")"),131214)</f>
        <v>131214</v>
      </c>
      <c r="I259" s="13" t="str">
        <f ca="1">IFERROR(__xludf.DUMMYFUNCTION("AVERAGE(index(GOOGLEFINANCE(""NSE:""&amp;$A259, ""volume"", today()-21, today()-1), , 2))"),"#N/A")</f>
        <v>#N/A</v>
      </c>
      <c r="J259" s="14" t="e">
        <f t="shared" ca="1" si="81"/>
        <v>#VALUE!</v>
      </c>
      <c r="K259" s="13" t="str">
        <f ca="1">IFERROR(__xludf.DUMMYFUNCTION("AVERAGE(index(GOOGLEFINANCE(""NSE:""&amp;$A259, ""close"", today()-6, today()-1), , 2))"),"#N/A")</f>
        <v>#N/A</v>
      </c>
      <c r="L259" s="13" t="str">
        <f ca="1">IFERROR(__xludf.DUMMYFUNCTION("AVERAGE(index(GOOGLEFINANCE(""NSE:""&amp;$A259, ""close"", today()-14, today()-1), , 2))"),"#N/A")</f>
        <v>#N/A</v>
      </c>
      <c r="M259" s="13" t="str">
        <f ca="1">IFERROR(__xludf.DUMMYFUNCTION("AVERAGE(index(GOOGLEFINANCE(""NSE:""&amp;$A259, ""close"", today()-22, today()-1), , 2))"),"#N/A")</f>
        <v>#N/A</v>
      </c>
      <c r="N259" s="13" t="str">
        <f t="shared" ca="1" si="82"/>
        <v>No_Action</v>
      </c>
      <c r="O259" s="13" t="str">
        <f t="shared" ca="1" si="83"/>
        <v>No_Action</v>
      </c>
      <c r="P259" s="13" t="str">
        <f t="shared" ca="1" si="84"/>
        <v>No_Action</v>
      </c>
      <c r="Q259" s="13" t="str">
        <f t="shared" ca="1" si="85"/>
        <v>No_Action</v>
      </c>
      <c r="R259" s="15"/>
      <c r="S259" s="15" t="str">
        <f t="shared" ca="1" si="86"/>
        <v>NoNo</v>
      </c>
      <c r="T259" s="15"/>
      <c r="U259" s="15">
        <f t="shared" ca="1" si="87"/>
        <v>0</v>
      </c>
      <c r="V259" s="15">
        <f t="shared" ca="1" si="88"/>
        <v>0</v>
      </c>
      <c r="W259" s="15" t="str">
        <f t="shared" ca="1" si="89"/>
        <v>No_Action</v>
      </c>
      <c r="X259" s="15"/>
      <c r="Y259" s="15" t="str">
        <f t="shared" ca="1" si="90"/>
        <v>No_Action</v>
      </c>
      <c r="Z259" s="15">
        <f t="shared" ca="1" si="91"/>
        <v>0</v>
      </c>
      <c r="AA259" s="15">
        <f t="shared" ca="1" si="92"/>
        <v>0</v>
      </c>
      <c r="AB259" s="15"/>
      <c r="AC259" s="15" t="str">
        <f t="shared" ca="1" si="93"/>
        <v>NoNo</v>
      </c>
      <c r="AD259" s="15"/>
      <c r="AE259" s="15">
        <f t="shared" ca="1" si="94"/>
        <v>0</v>
      </c>
      <c r="AF259" s="16">
        <f t="shared" ca="1" si="95"/>
        <v>0</v>
      </c>
      <c r="AG259" s="16" t="str">
        <f t="shared" ca="1" si="96"/>
        <v>No_Action</v>
      </c>
      <c r="AH259" s="15"/>
      <c r="AI259" s="15" t="str">
        <f t="shared" ca="1" si="97"/>
        <v>No_Action</v>
      </c>
      <c r="AJ259" s="15">
        <f t="shared" ca="1" si="98"/>
        <v>0</v>
      </c>
      <c r="AK259" s="15">
        <f t="shared" ca="1" si="99"/>
        <v>0</v>
      </c>
    </row>
    <row r="260" spans="1:37" ht="14.5" customHeight="1" x14ac:dyDescent="0.35">
      <c r="A260" s="12" t="s">
        <v>276</v>
      </c>
      <c r="B260" s="13">
        <f ca="1">IFERROR(__xludf.DUMMYFUNCTION("GOOGLEFINANCE(""NSE:""&amp;A260,""PRICE"")"),973)</f>
        <v>973</v>
      </c>
      <c r="C260" s="13">
        <f ca="1">IFERROR(__xludf.DUMMYFUNCTION("GOOGLEFINANCE(""NSE:""&amp;A260,""PRICEOPEN"")"),965)</f>
        <v>965</v>
      </c>
      <c r="D260" s="13">
        <f ca="1">IFERROR(__xludf.DUMMYFUNCTION("GOOGLEFINANCE(""NSE:""&amp;A260,""HIGH"")"),993.9)</f>
        <v>993.9</v>
      </c>
      <c r="E260" s="13">
        <f ca="1">IFERROR(__xludf.DUMMYFUNCTION("GOOGLEFINANCE(""NSE:""&amp;A260,""LOW"")"),962)</f>
        <v>962</v>
      </c>
      <c r="F260" s="13">
        <f ca="1">IFERROR(__xludf.DUMMYFUNCTION("GOOGLEFINANCE(""NSE:""&amp;A260,""closeyest"")"),968.7)</f>
        <v>968.7</v>
      </c>
      <c r="G260" s="14">
        <f t="shared" ca="1" si="80"/>
        <v>8.2219938335046251E-3</v>
      </c>
      <c r="H260" s="13">
        <f ca="1">IFERROR(__xludf.DUMMYFUNCTION("GOOGLEFINANCE(""NSE:""&amp;A260,""VOLUME"")"),648309)</f>
        <v>648309</v>
      </c>
      <c r="I260" s="13" t="str">
        <f ca="1">IFERROR(__xludf.DUMMYFUNCTION("AVERAGE(index(GOOGLEFINANCE(""NSE:""&amp;$A260, ""volume"", today()-21, today()-1), , 2))"),"#N/A")</f>
        <v>#N/A</v>
      </c>
      <c r="J260" s="14" t="e">
        <f t="shared" ca="1" si="81"/>
        <v>#VALUE!</v>
      </c>
      <c r="K260" s="13" t="str">
        <f ca="1">IFERROR(__xludf.DUMMYFUNCTION("AVERAGE(index(GOOGLEFINANCE(""NSE:""&amp;$A260, ""close"", today()-6, today()-1), , 2))"),"#N/A")</f>
        <v>#N/A</v>
      </c>
      <c r="L260" s="13" t="str">
        <f ca="1">IFERROR(__xludf.DUMMYFUNCTION("AVERAGE(index(GOOGLEFINANCE(""NSE:""&amp;$A260, ""close"", today()-14, today()-1), , 2))"),"#N/A")</f>
        <v>#N/A</v>
      </c>
      <c r="M260" s="13" t="str">
        <f ca="1">IFERROR(__xludf.DUMMYFUNCTION("AVERAGE(index(GOOGLEFINANCE(""NSE:""&amp;$A260, ""close"", today()-22, today()-1), , 2))"),"#N/A")</f>
        <v>#N/A</v>
      </c>
      <c r="N260" s="13" t="str">
        <f t="shared" ca="1" si="82"/>
        <v>No_Action</v>
      </c>
      <c r="O260" s="13" t="str">
        <f t="shared" ca="1" si="83"/>
        <v>No_Action</v>
      </c>
      <c r="P260" s="13" t="str">
        <f t="shared" ca="1" si="84"/>
        <v>No_Action</v>
      </c>
      <c r="Q260" s="13" t="str">
        <f t="shared" ca="1" si="85"/>
        <v>No_Action</v>
      </c>
      <c r="R260" s="15"/>
      <c r="S260" s="15" t="str">
        <f t="shared" ca="1" si="86"/>
        <v>NoNo</v>
      </c>
      <c r="T260" s="15"/>
      <c r="U260" s="15">
        <f t="shared" ca="1" si="87"/>
        <v>0</v>
      </c>
      <c r="V260" s="15">
        <f t="shared" ca="1" si="88"/>
        <v>0</v>
      </c>
      <c r="W260" s="15" t="str">
        <f t="shared" ca="1" si="89"/>
        <v>No_Action</v>
      </c>
      <c r="X260" s="15"/>
      <c r="Y260" s="15" t="str">
        <f t="shared" ca="1" si="90"/>
        <v>No_Action</v>
      </c>
      <c r="Z260" s="15">
        <f t="shared" ca="1" si="91"/>
        <v>0</v>
      </c>
      <c r="AA260" s="15">
        <f t="shared" ca="1" si="92"/>
        <v>0</v>
      </c>
      <c r="AB260" s="15"/>
      <c r="AC260" s="15" t="str">
        <f t="shared" ca="1" si="93"/>
        <v>NoNo</v>
      </c>
      <c r="AD260" s="15"/>
      <c r="AE260" s="15">
        <f t="shared" ca="1" si="94"/>
        <v>0</v>
      </c>
      <c r="AF260" s="16">
        <f t="shared" ca="1" si="95"/>
        <v>0</v>
      </c>
      <c r="AG260" s="16" t="str">
        <f t="shared" ca="1" si="96"/>
        <v>No_Action</v>
      </c>
      <c r="AH260" s="15"/>
      <c r="AI260" s="15" t="str">
        <f t="shared" ca="1" si="97"/>
        <v>No_Action</v>
      </c>
      <c r="AJ260" s="15">
        <f t="shared" ca="1" si="98"/>
        <v>0</v>
      </c>
      <c r="AK260" s="15">
        <f t="shared" ca="1" si="99"/>
        <v>0</v>
      </c>
    </row>
    <row r="261" spans="1:37" ht="14.5" customHeight="1" x14ac:dyDescent="0.35">
      <c r="A261" s="12" t="s">
        <v>277</v>
      </c>
      <c r="B261" s="13">
        <f ca="1">IFERROR(__xludf.DUMMYFUNCTION("GOOGLEFINANCE(""NSE:""&amp;A261,""PRICE"")"),658)</f>
        <v>658</v>
      </c>
      <c r="C261" s="13">
        <f ca="1">IFERROR(__xludf.DUMMYFUNCTION("GOOGLEFINANCE(""NSE:""&amp;A261,""PRICEOPEN"")"),656)</f>
        <v>656</v>
      </c>
      <c r="D261" s="13">
        <f ca="1">IFERROR(__xludf.DUMMYFUNCTION("GOOGLEFINANCE(""NSE:""&amp;A261,""HIGH"")"),693.2)</f>
        <v>693.2</v>
      </c>
      <c r="E261" s="13">
        <f ca="1">IFERROR(__xludf.DUMMYFUNCTION("GOOGLEFINANCE(""NSE:""&amp;A261,""LOW"")"),650.45)</f>
        <v>650.45000000000005</v>
      </c>
      <c r="F261" s="13">
        <f ca="1">IFERROR(__xludf.DUMMYFUNCTION("GOOGLEFINANCE(""NSE:""&amp;A261,""closeyest"")"),663)</f>
        <v>663</v>
      </c>
      <c r="G261" s="14">
        <f t="shared" ca="1" si="80"/>
        <v>3.0395136778115501E-3</v>
      </c>
      <c r="H261" s="13">
        <f ca="1">IFERROR(__xludf.DUMMYFUNCTION("GOOGLEFINANCE(""NSE:""&amp;A261,""VOLUME"")"),199316)</f>
        <v>199316</v>
      </c>
      <c r="I261" s="13" t="str">
        <f ca="1">IFERROR(__xludf.DUMMYFUNCTION("AVERAGE(index(GOOGLEFINANCE(""NSE:""&amp;$A261, ""volume"", today()-21, today()-1), , 2))"),"#N/A")</f>
        <v>#N/A</v>
      </c>
      <c r="J261" s="14" t="e">
        <f t="shared" ca="1" si="81"/>
        <v>#VALUE!</v>
      </c>
      <c r="K261" s="13" t="str">
        <f ca="1">IFERROR(__xludf.DUMMYFUNCTION("AVERAGE(index(GOOGLEFINANCE(""NSE:""&amp;$A261, ""close"", today()-6, today()-1), , 2))"),"#N/A")</f>
        <v>#N/A</v>
      </c>
      <c r="L261" s="13" t="str">
        <f ca="1">IFERROR(__xludf.DUMMYFUNCTION("AVERAGE(index(GOOGLEFINANCE(""NSE:""&amp;$A261, ""close"", today()-14, today()-1), , 2))"),"#N/A")</f>
        <v>#N/A</v>
      </c>
      <c r="M261" s="13" t="str">
        <f ca="1">IFERROR(__xludf.DUMMYFUNCTION("AVERAGE(index(GOOGLEFINANCE(""NSE:""&amp;$A261, ""close"", today()-22, today()-1), , 2))"),"#N/A")</f>
        <v>#N/A</v>
      </c>
      <c r="N261" s="13" t="str">
        <f t="shared" ca="1" si="82"/>
        <v>No_Action</v>
      </c>
      <c r="O261" s="13" t="str">
        <f t="shared" ca="1" si="83"/>
        <v>No_Action</v>
      </c>
      <c r="P261" s="13" t="str">
        <f t="shared" ca="1" si="84"/>
        <v>No_Action</v>
      </c>
      <c r="Q261" s="13" t="str">
        <f t="shared" ca="1" si="85"/>
        <v>No_Action</v>
      </c>
      <c r="R261" s="15"/>
      <c r="S261" s="15" t="str">
        <f t="shared" ca="1" si="86"/>
        <v>NoNo</v>
      </c>
      <c r="T261" s="15"/>
      <c r="U261" s="15">
        <f t="shared" ca="1" si="87"/>
        <v>0</v>
      </c>
      <c r="V261" s="15">
        <f t="shared" ca="1" si="88"/>
        <v>0</v>
      </c>
      <c r="W261" s="15" t="str">
        <f t="shared" ca="1" si="89"/>
        <v>No_Action</v>
      </c>
      <c r="X261" s="15"/>
      <c r="Y261" s="15" t="str">
        <f t="shared" ca="1" si="90"/>
        <v>No_Action</v>
      </c>
      <c r="Z261" s="15">
        <f t="shared" ca="1" si="91"/>
        <v>0</v>
      </c>
      <c r="AA261" s="15">
        <f t="shared" ca="1" si="92"/>
        <v>0</v>
      </c>
      <c r="AB261" s="15"/>
      <c r="AC261" s="15" t="str">
        <f t="shared" ca="1" si="93"/>
        <v>NoNo</v>
      </c>
      <c r="AD261" s="15"/>
      <c r="AE261" s="15">
        <f t="shared" ca="1" si="94"/>
        <v>0</v>
      </c>
      <c r="AF261" s="16">
        <f t="shared" ca="1" si="95"/>
        <v>0</v>
      </c>
      <c r="AG261" s="16" t="str">
        <f t="shared" ca="1" si="96"/>
        <v>No_Action</v>
      </c>
      <c r="AH261" s="15"/>
      <c r="AI261" s="15" t="str">
        <f t="shared" ca="1" si="97"/>
        <v>No_Action</v>
      </c>
      <c r="AJ261" s="15">
        <f t="shared" ca="1" si="98"/>
        <v>0</v>
      </c>
      <c r="AK261" s="15">
        <f t="shared" ca="1" si="99"/>
        <v>0</v>
      </c>
    </row>
    <row r="262" spans="1:37" ht="14.5" customHeight="1" x14ac:dyDescent="0.35">
      <c r="A262" s="12" t="s">
        <v>278</v>
      </c>
      <c r="B262" s="13">
        <f ca="1">IFERROR(__xludf.DUMMYFUNCTION("GOOGLEFINANCE(""NSE:""&amp;A262,""PRICE"")"),3409)</f>
        <v>3409</v>
      </c>
      <c r="C262" s="13">
        <f ca="1">IFERROR(__xludf.DUMMYFUNCTION("GOOGLEFINANCE(""NSE:""&amp;A262,""PRICEOPEN"")"),3326)</f>
        <v>3326</v>
      </c>
      <c r="D262" s="13">
        <f ca="1">IFERROR(__xludf.DUMMYFUNCTION("GOOGLEFINANCE(""NSE:""&amp;A262,""HIGH"")"),3430.5)</f>
        <v>3430.5</v>
      </c>
      <c r="E262" s="13">
        <f ca="1">IFERROR(__xludf.DUMMYFUNCTION("GOOGLEFINANCE(""NSE:""&amp;A262,""LOW"")"),3320)</f>
        <v>3320</v>
      </c>
      <c r="F262" s="13">
        <f ca="1">IFERROR(__xludf.DUMMYFUNCTION("GOOGLEFINANCE(""NSE:""&amp;A262,""closeyest"")"),3344.3)</f>
        <v>3344.3</v>
      </c>
      <c r="G262" s="14">
        <f t="shared" ca="1" si="80"/>
        <v>2.4347315928424759E-2</v>
      </c>
      <c r="H262" s="13">
        <f ca="1">IFERROR(__xludf.DUMMYFUNCTION("GOOGLEFINANCE(""NSE:""&amp;A262,""VOLUME"")"),31916)</f>
        <v>31916</v>
      </c>
      <c r="I262" s="13" t="str">
        <f ca="1">IFERROR(__xludf.DUMMYFUNCTION("AVERAGE(index(GOOGLEFINANCE(""NSE:""&amp;$A262, ""volume"", today()-21, today()-1), , 2))"),"#N/A")</f>
        <v>#N/A</v>
      </c>
      <c r="J262" s="14" t="e">
        <f t="shared" ca="1" si="81"/>
        <v>#VALUE!</v>
      </c>
      <c r="K262" s="13" t="str">
        <f ca="1">IFERROR(__xludf.DUMMYFUNCTION("AVERAGE(index(GOOGLEFINANCE(""NSE:""&amp;$A262, ""close"", today()-6, today()-1), , 2))"),"#N/A")</f>
        <v>#N/A</v>
      </c>
      <c r="L262" s="13" t="str">
        <f ca="1">IFERROR(__xludf.DUMMYFUNCTION("AVERAGE(index(GOOGLEFINANCE(""NSE:""&amp;$A262, ""close"", today()-14, today()-1), , 2))"),"#N/A")</f>
        <v>#N/A</v>
      </c>
      <c r="M262" s="13" t="str">
        <f ca="1">IFERROR(__xludf.DUMMYFUNCTION("AVERAGE(index(GOOGLEFINANCE(""NSE:""&amp;$A262, ""close"", today()-22, today()-1), , 2))"),"#N/A")</f>
        <v>#N/A</v>
      </c>
      <c r="N262" s="13" t="str">
        <f t="shared" ca="1" si="82"/>
        <v>No_Action</v>
      </c>
      <c r="O262" s="13" t="str">
        <f t="shared" ca="1" si="83"/>
        <v>No_Action</v>
      </c>
      <c r="P262" s="13" t="str">
        <f t="shared" ca="1" si="84"/>
        <v>No_Action</v>
      </c>
      <c r="Q262" s="13" t="str">
        <f t="shared" ca="1" si="85"/>
        <v>No_Action</v>
      </c>
      <c r="R262" s="15"/>
      <c r="S262" s="15" t="str">
        <f t="shared" ca="1" si="86"/>
        <v>NoNo</v>
      </c>
      <c r="T262" s="15"/>
      <c r="U262" s="15">
        <f t="shared" ca="1" si="87"/>
        <v>0</v>
      </c>
      <c r="V262" s="15">
        <f t="shared" ca="1" si="88"/>
        <v>0</v>
      </c>
      <c r="W262" s="15" t="str">
        <f t="shared" ca="1" si="89"/>
        <v>No_Action</v>
      </c>
      <c r="X262" s="15"/>
      <c r="Y262" s="15" t="str">
        <f t="shared" ca="1" si="90"/>
        <v>No_Action</v>
      </c>
      <c r="Z262" s="15">
        <f t="shared" ca="1" si="91"/>
        <v>0</v>
      </c>
      <c r="AA262" s="15">
        <f t="shared" ca="1" si="92"/>
        <v>0</v>
      </c>
      <c r="AB262" s="15"/>
      <c r="AC262" s="15" t="str">
        <f t="shared" ca="1" si="93"/>
        <v>NoNo</v>
      </c>
      <c r="AD262" s="15"/>
      <c r="AE262" s="15">
        <f t="shared" ca="1" si="94"/>
        <v>0</v>
      </c>
      <c r="AF262" s="16">
        <f t="shared" ca="1" si="95"/>
        <v>0</v>
      </c>
      <c r="AG262" s="16" t="str">
        <f t="shared" ca="1" si="96"/>
        <v>No_Action</v>
      </c>
      <c r="AH262" s="15"/>
      <c r="AI262" s="15" t="str">
        <f t="shared" ca="1" si="97"/>
        <v>No_Action</v>
      </c>
      <c r="AJ262" s="15">
        <f t="shared" ca="1" si="98"/>
        <v>0</v>
      </c>
      <c r="AK262" s="15">
        <f t="shared" ca="1" si="99"/>
        <v>0</v>
      </c>
    </row>
    <row r="263" spans="1:37" ht="14.5" customHeight="1" x14ac:dyDescent="0.35">
      <c r="A263" s="12" t="s">
        <v>279</v>
      </c>
      <c r="B263" s="13">
        <f ca="1">IFERROR(__xludf.DUMMYFUNCTION("GOOGLEFINANCE(""NSE:""&amp;A263,""PRICE"")"),1296.4)</f>
        <v>1296.4000000000001</v>
      </c>
      <c r="C263" s="13">
        <f ca="1">IFERROR(__xludf.DUMMYFUNCTION("GOOGLEFINANCE(""NSE:""&amp;A263,""PRICEOPEN"")"),1303)</f>
        <v>1303</v>
      </c>
      <c r="D263" s="13">
        <f ca="1">IFERROR(__xludf.DUMMYFUNCTION("GOOGLEFINANCE(""NSE:""&amp;A263,""HIGH"")"),1315)</f>
        <v>1315</v>
      </c>
      <c r="E263" s="13">
        <f ca="1">IFERROR(__xludf.DUMMYFUNCTION("GOOGLEFINANCE(""NSE:""&amp;A263,""LOW"")"),1293.1)</f>
        <v>1293.0999999999999</v>
      </c>
      <c r="F263" s="13">
        <f ca="1">IFERROR(__xludf.DUMMYFUNCTION("GOOGLEFINANCE(""NSE:""&amp;A263,""closeyest"")"),1311.55)</f>
        <v>1311.55</v>
      </c>
      <c r="G263" s="14">
        <f t="shared" ca="1" si="80"/>
        <v>-5.091021289725323E-3</v>
      </c>
      <c r="H263" s="13">
        <f ca="1">IFERROR(__xludf.DUMMYFUNCTION("GOOGLEFINANCE(""NSE:""&amp;A263,""VOLUME"")"),14650002)</f>
        <v>14650002</v>
      </c>
      <c r="I263" s="13" t="str">
        <f ca="1">IFERROR(__xludf.DUMMYFUNCTION("AVERAGE(index(GOOGLEFINANCE(""NSE:""&amp;$A263, ""volume"", today()-21, today()-1), , 2))"),"#N/A")</f>
        <v>#N/A</v>
      </c>
      <c r="J263" s="14" t="e">
        <f t="shared" ca="1" si="81"/>
        <v>#VALUE!</v>
      </c>
      <c r="K263" s="13" t="str">
        <f ca="1">IFERROR(__xludf.DUMMYFUNCTION("AVERAGE(index(GOOGLEFINANCE(""NSE:""&amp;$A263, ""close"", today()-6, today()-1), , 2))"),"#N/A")</f>
        <v>#N/A</v>
      </c>
      <c r="L263" s="13" t="str">
        <f ca="1">IFERROR(__xludf.DUMMYFUNCTION("AVERAGE(index(GOOGLEFINANCE(""NSE:""&amp;$A263, ""close"", today()-14, today()-1), , 2))"),"#N/A")</f>
        <v>#N/A</v>
      </c>
      <c r="M263" s="13" t="str">
        <f ca="1">IFERROR(__xludf.DUMMYFUNCTION("AVERAGE(index(GOOGLEFINANCE(""NSE:""&amp;$A263, ""close"", today()-22, today()-1), , 2))"),"#N/A")</f>
        <v>#N/A</v>
      </c>
      <c r="N263" s="13" t="str">
        <f t="shared" ca="1" si="82"/>
        <v>No_Action</v>
      </c>
      <c r="O263" s="13" t="str">
        <f t="shared" ca="1" si="83"/>
        <v>No_Action</v>
      </c>
      <c r="P263" s="13" t="str">
        <f t="shared" ca="1" si="84"/>
        <v>No_Action</v>
      </c>
      <c r="Q263" s="13" t="str">
        <f t="shared" ca="1" si="85"/>
        <v>No_Action</v>
      </c>
      <c r="R263" s="15"/>
      <c r="S263" s="15" t="str">
        <f t="shared" ca="1" si="86"/>
        <v>NoNo</v>
      </c>
      <c r="T263" s="15"/>
      <c r="U263" s="15">
        <f t="shared" ca="1" si="87"/>
        <v>0</v>
      </c>
      <c r="V263" s="15">
        <f t="shared" ca="1" si="88"/>
        <v>0</v>
      </c>
      <c r="W263" s="15" t="str">
        <f t="shared" ca="1" si="89"/>
        <v>No_Action</v>
      </c>
      <c r="X263" s="15"/>
      <c r="Y263" s="15" t="str">
        <f t="shared" ca="1" si="90"/>
        <v>No_Action</v>
      </c>
      <c r="Z263" s="15">
        <f t="shared" ca="1" si="91"/>
        <v>0</v>
      </c>
      <c r="AA263" s="15">
        <f t="shared" ca="1" si="92"/>
        <v>0</v>
      </c>
      <c r="AB263" s="15"/>
      <c r="AC263" s="15" t="str">
        <f t="shared" ca="1" si="93"/>
        <v>NoNo</v>
      </c>
      <c r="AD263" s="15"/>
      <c r="AE263" s="15">
        <f t="shared" ca="1" si="94"/>
        <v>0</v>
      </c>
      <c r="AF263" s="16">
        <f t="shared" ca="1" si="95"/>
        <v>0</v>
      </c>
      <c r="AG263" s="16" t="str">
        <f t="shared" ca="1" si="96"/>
        <v>No_Action</v>
      </c>
      <c r="AH263" s="15"/>
      <c r="AI263" s="15" t="str">
        <f t="shared" ca="1" si="97"/>
        <v>No_Action</v>
      </c>
      <c r="AJ263" s="15">
        <f t="shared" ca="1" si="98"/>
        <v>0</v>
      </c>
      <c r="AK263" s="15">
        <f t="shared" ca="1" si="99"/>
        <v>0</v>
      </c>
    </row>
    <row r="264" spans="1:37" ht="14.5" customHeight="1" x14ac:dyDescent="0.35">
      <c r="A264" s="12" t="s">
        <v>280</v>
      </c>
      <c r="B264" s="13">
        <f ca="1">IFERROR(__xludf.DUMMYFUNCTION("GOOGLEFINANCE(""NSE:""&amp;A264,""PRICE"")"),474)</f>
        <v>474</v>
      </c>
      <c r="C264" s="13">
        <f ca="1">IFERROR(__xludf.DUMMYFUNCTION("GOOGLEFINANCE(""NSE:""&amp;A264,""PRICEOPEN"")"),479.45)</f>
        <v>479.45</v>
      </c>
      <c r="D264" s="13">
        <f ca="1">IFERROR(__xludf.DUMMYFUNCTION("GOOGLEFINANCE(""NSE:""&amp;A264,""HIGH"")"),493)</f>
        <v>493</v>
      </c>
      <c r="E264" s="13">
        <f ca="1">IFERROR(__xludf.DUMMYFUNCTION("GOOGLEFINANCE(""NSE:""&amp;A264,""LOW"")"),472)</f>
        <v>472</v>
      </c>
      <c r="F264" s="13">
        <f ca="1">IFERROR(__xludf.DUMMYFUNCTION("GOOGLEFINANCE(""NSE:""&amp;A264,""closeyest"")"),474.55)</f>
        <v>474.55</v>
      </c>
      <c r="G264" s="14">
        <f t="shared" ca="1" si="80"/>
        <v>-1.1497890295358627E-2</v>
      </c>
      <c r="H264" s="13">
        <f ca="1">IFERROR(__xludf.DUMMYFUNCTION("GOOGLEFINANCE(""NSE:""&amp;A264,""VOLUME"")"),276843)</f>
        <v>276843</v>
      </c>
      <c r="I264" s="13" t="str">
        <f ca="1">IFERROR(__xludf.DUMMYFUNCTION("AVERAGE(index(GOOGLEFINANCE(""NSE:""&amp;$A264, ""volume"", today()-21, today()-1), , 2))"),"#N/A")</f>
        <v>#N/A</v>
      </c>
      <c r="J264" s="14" t="e">
        <f t="shared" ca="1" si="81"/>
        <v>#VALUE!</v>
      </c>
      <c r="K264" s="13" t="str">
        <f ca="1">IFERROR(__xludf.DUMMYFUNCTION("AVERAGE(index(GOOGLEFINANCE(""NSE:""&amp;$A264, ""close"", today()-6, today()-1), , 2))"),"#N/A")</f>
        <v>#N/A</v>
      </c>
      <c r="L264" s="13" t="str">
        <f ca="1">IFERROR(__xludf.DUMMYFUNCTION("AVERAGE(index(GOOGLEFINANCE(""NSE:""&amp;$A264, ""close"", today()-14, today()-1), , 2))"),"#N/A")</f>
        <v>#N/A</v>
      </c>
      <c r="M264" s="13" t="str">
        <f ca="1">IFERROR(__xludf.DUMMYFUNCTION("AVERAGE(index(GOOGLEFINANCE(""NSE:""&amp;$A264, ""close"", today()-22, today()-1), , 2))"),"#N/A")</f>
        <v>#N/A</v>
      </c>
      <c r="N264" s="13" t="str">
        <f t="shared" ca="1" si="82"/>
        <v>No_Action</v>
      </c>
      <c r="O264" s="13" t="str">
        <f t="shared" ca="1" si="83"/>
        <v>No_Action</v>
      </c>
      <c r="P264" s="13" t="str">
        <f t="shared" ca="1" si="84"/>
        <v>No_Action</v>
      </c>
      <c r="Q264" s="13" t="str">
        <f t="shared" ca="1" si="85"/>
        <v>No_Action</v>
      </c>
      <c r="R264" s="15"/>
      <c r="S264" s="15" t="str">
        <f t="shared" ca="1" si="86"/>
        <v>NoNo</v>
      </c>
      <c r="T264" s="15"/>
      <c r="U264" s="15">
        <f t="shared" ca="1" si="87"/>
        <v>0</v>
      </c>
      <c r="V264" s="15">
        <f t="shared" ca="1" si="88"/>
        <v>0</v>
      </c>
      <c r="W264" s="15" t="str">
        <f t="shared" ca="1" si="89"/>
        <v>No_Action</v>
      </c>
      <c r="X264" s="15"/>
      <c r="Y264" s="15" t="str">
        <f t="shared" ca="1" si="90"/>
        <v>No_Action</v>
      </c>
      <c r="Z264" s="15">
        <f t="shared" ca="1" si="91"/>
        <v>0</v>
      </c>
      <c r="AA264" s="15">
        <f t="shared" ca="1" si="92"/>
        <v>0</v>
      </c>
      <c r="AB264" s="15"/>
      <c r="AC264" s="15" t="str">
        <f t="shared" ca="1" si="93"/>
        <v>NoNo</v>
      </c>
      <c r="AD264" s="15"/>
      <c r="AE264" s="15">
        <f t="shared" ca="1" si="94"/>
        <v>0</v>
      </c>
      <c r="AF264" s="16">
        <f t="shared" ca="1" si="95"/>
        <v>0</v>
      </c>
      <c r="AG264" s="16" t="str">
        <f t="shared" ca="1" si="96"/>
        <v>No_Action</v>
      </c>
      <c r="AH264" s="15"/>
      <c r="AI264" s="15" t="str">
        <f t="shared" ca="1" si="97"/>
        <v>No_Action</v>
      </c>
      <c r="AJ264" s="15">
        <f t="shared" ca="1" si="98"/>
        <v>0</v>
      </c>
      <c r="AK264" s="15">
        <f t="shared" ca="1" si="99"/>
        <v>0</v>
      </c>
    </row>
    <row r="265" spans="1:37" ht="14.5" customHeight="1" x14ac:dyDescent="0.35">
      <c r="A265" s="12" t="s">
        <v>281</v>
      </c>
      <c r="B265" s="13">
        <f ca="1">IFERROR(__xludf.DUMMYFUNCTION("GOOGLEFINANCE(""NSE:""&amp;A265,""PRICE"")"),268)</f>
        <v>268</v>
      </c>
      <c r="C265" s="13">
        <f ca="1">IFERROR(__xludf.DUMMYFUNCTION("GOOGLEFINANCE(""NSE:""&amp;A265,""PRICEOPEN"")"),269)</f>
        <v>269</v>
      </c>
      <c r="D265" s="13">
        <f ca="1">IFERROR(__xludf.DUMMYFUNCTION("GOOGLEFINANCE(""NSE:""&amp;A265,""HIGH"")"),269.9)</f>
        <v>269.89999999999998</v>
      </c>
      <c r="E265" s="13">
        <f ca="1">IFERROR(__xludf.DUMMYFUNCTION("GOOGLEFINANCE(""NSE:""&amp;A265,""LOW"")"),266)</f>
        <v>266</v>
      </c>
      <c r="F265" s="13">
        <f ca="1">IFERROR(__xludf.DUMMYFUNCTION("GOOGLEFINANCE(""NSE:""&amp;A265,""closeyest"")"),268.8)</f>
        <v>268.8</v>
      </c>
      <c r="G265" s="14">
        <f t="shared" ca="1" si="80"/>
        <v>-3.7313432835820895E-3</v>
      </c>
      <c r="H265" s="13">
        <f ca="1">IFERROR(__xludf.DUMMYFUNCTION("GOOGLEFINANCE(""NSE:""&amp;A265,""VOLUME"")"),173871)</f>
        <v>173871</v>
      </c>
      <c r="I265" s="13" t="str">
        <f ca="1">IFERROR(__xludf.DUMMYFUNCTION("AVERAGE(index(GOOGLEFINANCE(""NSE:""&amp;$A265, ""volume"", today()-21, today()-1), , 2))"),"#N/A")</f>
        <v>#N/A</v>
      </c>
      <c r="J265" s="14" t="e">
        <f t="shared" ca="1" si="81"/>
        <v>#VALUE!</v>
      </c>
      <c r="K265" s="13" t="str">
        <f ca="1">IFERROR(__xludf.DUMMYFUNCTION("AVERAGE(index(GOOGLEFINANCE(""NSE:""&amp;$A265, ""close"", today()-6, today()-1), , 2))"),"#N/A")</f>
        <v>#N/A</v>
      </c>
      <c r="L265" s="13" t="str">
        <f ca="1">IFERROR(__xludf.DUMMYFUNCTION("AVERAGE(index(GOOGLEFINANCE(""NSE:""&amp;$A265, ""close"", today()-14, today()-1), , 2))"),"#N/A")</f>
        <v>#N/A</v>
      </c>
      <c r="M265" s="13" t="str">
        <f ca="1">IFERROR(__xludf.DUMMYFUNCTION("AVERAGE(index(GOOGLEFINANCE(""NSE:""&amp;$A265, ""close"", today()-22, today()-1), , 2))"),"#N/A")</f>
        <v>#N/A</v>
      </c>
      <c r="N265" s="13" t="str">
        <f t="shared" ca="1" si="82"/>
        <v>No_Action</v>
      </c>
      <c r="O265" s="13" t="str">
        <f t="shared" ca="1" si="83"/>
        <v>No_Action</v>
      </c>
      <c r="P265" s="13" t="str">
        <f t="shared" ca="1" si="84"/>
        <v>No_Action</v>
      </c>
      <c r="Q265" s="13" t="str">
        <f t="shared" ca="1" si="85"/>
        <v>No_Action</v>
      </c>
      <c r="R265" s="15"/>
      <c r="S265" s="15" t="str">
        <f t="shared" ca="1" si="86"/>
        <v>NoNo</v>
      </c>
      <c r="T265" s="15"/>
      <c r="U265" s="15">
        <f t="shared" ca="1" si="87"/>
        <v>0</v>
      </c>
      <c r="V265" s="15">
        <f t="shared" ca="1" si="88"/>
        <v>0</v>
      </c>
      <c r="W265" s="15" t="str">
        <f t="shared" ca="1" si="89"/>
        <v>No_Action</v>
      </c>
      <c r="X265" s="15"/>
      <c r="Y265" s="15" t="str">
        <f t="shared" ca="1" si="90"/>
        <v>No_Action</v>
      </c>
      <c r="Z265" s="15">
        <f t="shared" ca="1" si="91"/>
        <v>0</v>
      </c>
      <c r="AA265" s="15">
        <f t="shared" ca="1" si="92"/>
        <v>0</v>
      </c>
      <c r="AB265" s="15"/>
      <c r="AC265" s="15" t="str">
        <f t="shared" ca="1" si="93"/>
        <v>NoNo</v>
      </c>
      <c r="AD265" s="15"/>
      <c r="AE265" s="15">
        <f t="shared" ca="1" si="94"/>
        <v>0</v>
      </c>
      <c r="AF265" s="16">
        <f t="shared" ca="1" si="95"/>
        <v>0</v>
      </c>
      <c r="AG265" s="16" t="str">
        <f t="shared" ca="1" si="96"/>
        <v>No_Action</v>
      </c>
      <c r="AH265" s="15"/>
      <c r="AI265" s="15" t="str">
        <f t="shared" ca="1" si="97"/>
        <v>No_Action</v>
      </c>
      <c r="AJ265" s="15">
        <f t="shared" ca="1" si="98"/>
        <v>0</v>
      </c>
      <c r="AK265" s="15">
        <f t="shared" ca="1" si="99"/>
        <v>0</v>
      </c>
    </row>
    <row r="266" spans="1:37" ht="14.5" customHeight="1" x14ac:dyDescent="0.35">
      <c r="A266" s="12" t="s">
        <v>282</v>
      </c>
      <c r="B266" s="13">
        <f ca="1">IFERROR(__xludf.DUMMYFUNCTION("GOOGLEFINANCE(""NSE:""&amp;A266,""PRICE"")"),302.2)</f>
        <v>302.2</v>
      </c>
      <c r="C266" s="13">
        <f ca="1">IFERROR(__xludf.DUMMYFUNCTION("GOOGLEFINANCE(""NSE:""&amp;A266,""PRICEOPEN"")"),303)</f>
        <v>303</v>
      </c>
      <c r="D266" s="13">
        <f ca="1">IFERROR(__xludf.DUMMYFUNCTION("GOOGLEFINANCE(""NSE:""&amp;A266,""HIGH"")"),309.85)</f>
        <v>309.85000000000002</v>
      </c>
      <c r="E266" s="13">
        <f ca="1">IFERROR(__xludf.DUMMYFUNCTION("GOOGLEFINANCE(""NSE:""&amp;A266,""LOW"")"),299.7)</f>
        <v>299.7</v>
      </c>
      <c r="F266" s="13">
        <f ca="1">IFERROR(__xludf.DUMMYFUNCTION("GOOGLEFINANCE(""NSE:""&amp;A266,""closeyest"")"),296.2)</f>
        <v>296.2</v>
      </c>
      <c r="G266" s="14">
        <f t="shared" ca="1" si="80"/>
        <v>-2.647253474520223E-3</v>
      </c>
      <c r="H266" s="13">
        <f ca="1">IFERROR(__xludf.DUMMYFUNCTION("GOOGLEFINANCE(""NSE:""&amp;A266,""VOLUME"")"),6341544)</f>
        <v>6341544</v>
      </c>
      <c r="I266" s="13" t="str">
        <f ca="1">IFERROR(__xludf.DUMMYFUNCTION("AVERAGE(index(GOOGLEFINANCE(""NSE:""&amp;$A266, ""volume"", today()-21, today()-1), , 2))"),"#N/A")</f>
        <v>#N/A</v>
      </c>
      <c r="J266" s="14" t="e">
        <f t="shared" ca="1" si="81"/>
        <v>#VALUE!</v>
      </c>
      <c r="K266" s="13" t="str">
        <f ca="1">IFERROR(__xludf.DUMMYFUNCTION("AVERAGE(index(GOOGLEFINANCE(""NSE:""&amp;$A266, ""close"", today()-6, today()-1), , 2))"),"#N/A")</f>
        <v>#N/A</v>
      </c>
      <c r="L266" s="13" t="str">
        <f ca="1">IFERROR(__xludf.DUMMYFUNCTION("AVERAGE(index(GOOGLEFINANCE(""NSE:""&amp;$A266, ""close"", today()-14, today()-1), , 2))"),"#N/A")</f>
        <v>#N/A</v>
      </c>
      <c r="M266" s="13" t="str">
        <f ca="1">IFERROR(__xludf.DUMMYFUNCTION("AVERAGE(index(GOOGLEFINANCE(""NSE:""&amp;$A266, ""close"", today()-22, today()-1), , 2))"),"#N/A")</f>
        <v>#N/A</v>
      </c>
      <c r="N266" s="13" t="str">
        <f t="shared" ca="1" si="82"/>
        <v>No_Action</v>
      </c>
      <c r="O266" s="13" t="str">
        <f t="shared" ca="1" si="83"/>
        <v>No_Action</v>
      </c>
      <c r="P266" s="13" t="str">
        <f t="shared" ca="1" si="84"/>
        <v>No_Action</v>
      </c>
      <c r="Q266" s="13" t="str">
        <f t="shared" ca="1" si="85"/>
        <v>No_Action</v>
      </c>
      <c r="R266" s="15"/>
      <c r="S266" s="15" t="str">
        <f t="shared" ca="1" si="86"/>
        <v>NoNo</v>
      </c>
      <c r="T266" s="15"/>
      <c r="U266" s="15">
        <f t="shared" ca="1" si="87"/>
        <v>0</v>
      </c>
      <c r="V266" s="15">
        <f t="shared" ca="1" si="88"/>
        <v>0</v>
      </c>
      <c r="W266" s="15" t="str">
        <f t="shared" ca="1" si="89"/>
        <v>No_Action</v>
      </c>
      <c r="X266" s="15"/>
      <c r="Y266" s="15" t="str">
        <f t="shared" ca="1" si="90"/>
        <v>No_Action</v>
      </c>
      <c r="Z266" s="15">
        <f t="shared" ca="1" si="91"/>
        <v>0</v>
      </c>
      <c r="AA266" s="15">
        <f t="shared" ca="1" si="92"/>
        <v>0</v>
      </c>
      <c r="AB266" s="15"/>
      <c r="AC266" s="15" t="str">
        <f t="shared" ca="1" si="93"/>
        <v>NoNo</v>
      </c>
      <c r="AD266" s="15"/>
      <c r="AE266" s="15">
        <f t="shared" ca="1" si="94"/>
        <v>0</v>
      </c>
      <c r="AF266" s="16">
        <f t="shared" ca="1" si="95"/>
        <v>0</v>
      </c>
      <c r="AG266" s="16" t="str">
        <f t="shared" ca="1" si="96"/>
        <v>No_Action</v>
      </c>
      <c r="AH266" s="15"/>
      <c r="AI266" s="15" t="str">
        <f t="shared" ca="1" si="97"/>
        <v>No_Action</v>
      </c>
      <c r="AJ266" s="15">
        <f t="shared" ca="1" si="98"/>
        <v>0</v>
      </c>
      <c r="AK266" s="15">
        <f t="shared" ca="1" si="99"/>
        <v>0</v>
      </c>
    </row>
    <row r="267" spans="1:37" ht="14.5" customHeight="1" x14ac:dyDescent="0.35">
      <c r="A267" s="12" t="s">
        <v>283</v>
      </c>
      <c r="B267" s="13">
        <f ca="1">IFERROR(__xludf.DUMMYFUNCTION("GOOGLEFINANCE(""NSE:""&amp;A267,""PRICE"")"),819.55)</f>
        <v>819.55</v>
      </c>
      <c r="C267" s="13">
        <f ca="1">IFERROR(__xludf.DUMMYFUNCTION("GOOGLEFINANCE(""NSE:""&amp;A267,""PRICEOPEN"")"),825)</f>
        <v>825</v>
      </c>
      <c r="D267" s="13">
        <f ca="1">IFERROR(__xludf.DUMMYFUNCTION("GOOGLEFINANCE(""NSE:""&amp;A267,""HIGH"")"),831.5)</f>
        <v>831.5</v>
      </c>
      <c r="E267" s="13">
        <f ca="1">IFERROR(__xludf.DUMMYFUNCTION("GOOGLEFINANCE(""NSE:""&amp;A267,""LOW"")"),818.05)</f>
        <v>818.05</v>
      </c>
      <c r="F267" s="13">
        <f ca="1">IFERROR(__xludf.DUMMYFUNCTION("GOOGLEFINANCE(""NSE:""&amp;A267,""closeyest"")"),822.4)</f>
        <v>822.4</v>
      </c>
      <c r="G267" s="14">
        <f t="shared" ca="1" si="80"/>
        <v>-6.6499908486365028E-3</v>
      </c>
      <c r="H267" s="13">
        <f ca="1">IFERROR(__xludf.DUMMYFUNCTION("GOOGLEFINANCE(""NSE:""&amp;A267,""VOLUME"")"),34729)</f>
        <v>34729</v>
      </c>
      <c r="I267" s="13" t="str">
        <f ca="1">IFERROR(__xludf.DUMMYFUNCTION("AVERAGE(index(GOOGLEFINANCE(""NSE:""&amp;$A267, ""volume"", today()-21, today()-1), , 2))"),"#N/A")</f>
        <v>#N/A</v>
      </c>
      <c r="J267" s="14" t="e">
        <f t="shared" ca="1" si="81"/>
        <v>#VALUE!</v>
      </c>
      <c r="K267" s="13" t="str">
        <f ca="1">IFERROR(__xludf.DUMMYFUNCTION("AVERAGE(index(GOOGLEFINANCE(""NSE:""&amp;$A267, ""close"", today()-6, today()-1), , 2))"),"#N/A")</f>
        <v>#N/A</v>
      </c>
      <c r="L267" s="13" t="str">
        <f ca="1">IFERROR(__xludf.DUMMYFUNCTION("AVERAGE(index(GOOGLEFINANCE(""NSE:""&amp;$A267, ""close"", today()-14, today()-1), , 2))"),"#N/A")</f>
        <v>#N/A</v>
      </c>
      <c r="M267" s="13" t="str">
        <f ca="1">IFERROR(__xludf.DUMMYFUNCTION("AVERAGE(index(GOOGLEFINANCE(""NSE:""&amp;$A267, ""close"", today()-22, today()-1), , 2))"),"#N/A")</f>
        <v>#N/A</v>
      </c>
      <c r="N267" s="13" t="str">
        <f t="shared" ca="1" si="82"/>
        <v>No_Action</v>
      </c>
      <c r="O267" s="13" t="str">
        <f t="shared" ca="1" si="83"/>
        <v>No_Action</v>
      </c>
      <c r="P267" s="13" t="str">
        <f t="shared" ca="1" si="84"/>
        <v>No_Action</v>
      </c>
      <c r="Q267" s="13" t="str">
        <f t="shared" ca="1" si="85"/>
        <v>No_Action</v>
      </c>
      <c r="R267" s="15"/>
      <c r="S267" s="15" t="str">
        <f t="shared" ca="1" si="86"/>
        <v>NoNo</v>
      </c>
      <c r="T267" s="15"/>
      <c r="U267" s="15">
        <f t="shared" ca="1" si="87"/>
        <v>0</v>
      </c>
      <c r="V267" s="15">
        <f t="shared" ca="1" si="88"/>
        <v>0</v>
      </c>
      <c r="W267" s="15" t="str">
        <f t="shared" ca="1" si="89"/>
        <v>No_Action</v>
      </c>
      <c r="X267" s="15"/>
      <c r="Y267" s="15" t="str">
        <f t="shared" ca="1" si="90"/>
        <v>No_Action</v>
      </c>
      <c r="Z267" s="15">
        <f t="shared" ca="1" si="91"/>
        <v>0</v>
      </c>
      <c r="AA267" s="15">
        <f t="shared" ca="1" si="92"/>
        <v>0</v>
      </c>
      <c r="AB267" s="15"/>
      <c r="AC267" s="15" t="str">
        <f t="shared" ca="1" si="93"/>
        <v>NoNo</v>
      </c>
      <c r="AD267" s="15"/>
      <c r="AE267" s="15">
        <f t="shared" ca="1" si="94"/>
        <v>0</v>
      </c>
      <c r="AF267" s="16">
        <f t="shared" ca="1" si="95"/>
        <v>0</v>
      </c>
      <c r="AG267" s="16" t="str">
        <f t="shared" ca="1" si="96"/>
        <v>No_Action</v>
      </c>
      <c r="AH267" s="15"/>
      <c r="AI267" s="15" t="str">
        <f t="shared" ca="1" si="97"/>
        <v>No_Action</v>
      </c>
      <c r="AJ267" s="15">
        <f t="shared" ca="1" si="98"/>
        <v>0</v>
      </c>
      <c r="AK267" s="15">
        <f t="shared" ca="1" si="99"/>
        <v>0</v>
      </c>
    </row>
    <row r="268" spans="1:37" ht="14.5" customHeight="1" x14ac:dyDescent="0.35">
      <c r="A268" s="12" t="s">
        <v>284</v>
      </c>
      <c r="B268" s="13">
        <f ca="1">IFERROR(__xludf.DUMMYFUNCTION("GOOGLEFINANCE(""NSE:""&amp;A268,""PRICE"")"),304.7)</f>
        <v>304.7</v>
      </c>
      <c r="C268" s="13">
        <f ca="1">IFERROR(__xludf.DUMMYFUNCTION("GOOGLEFINANCE(""NSE:""&amp;A268,""PRICEOPEN"")"),303)</f>
        <v>303</v>
      </c>
      <c r="D268" s="13">
        <f ca="1">IFERROR(__xludf.DUMMYFUNCTION("GOOGLEFINANCE(""NSE:""&amp;A268,""HIGH"")"),320)</f>
        <v>320</v>
      </c>
      <c r="E268" s="13">
        <f ca="1">IFERROR(__xludf.DUMMYFUNCTION("GOOGLEFINANCE(""NSE:""&amp;A268,""LOW"")"),297.1)</f>
        <v>297.10000000000002</v>
      </c>
      <c r="F268" s="13">
        <f ca="1">IFERROR(__xludf.DUMMYFUNCTION("GOOGLEFINANCE(""NSE:""&amp;A268,""closeyest"")"),282.2)</f>
        <v>282.2</v>
      </c>
      <c r="G268" s="14">
        <f t="shared" ca="1" si="80"/>
        <v>5.5792582868394768E-3</v>
      </c>
      <c r="H268" s="13">
        <f ca="1">IFERROR(__xludf.DUMMYFUNCTION("GOOGLEFINANCE(""NSE:""&amp;A268,""VOLUME"")"),2652122)</f>
        <v>2652122</v>
      </c>
      <c r="I268" s="13" t="str">
        <f ca="1">IFERROR(__xludf.DUMMYFUNCTION("AVERAGE(index(GOOGLEFINANCE(""NSE:""&amp;$A268, ""volume"", today()-21, today()-1), , 2))"),"#N/A")</f>
        <v>#N/A</v>
      </c>
      <c r="J268" s="14" t="e">
        <f t="shared" ca="1" si="81"/>
        <v>#VALUE!</v>
      </c>
      <c r="K268" s="13" t="str">
        <f ca="1">IFERROR(__xludf.DUMMYFUNCTION("AVERAGE(index(GOOGLEFINANCE(""NSE:""&amp;$A268, ""close"", today()-6, today()-1), , 2))"),"#N/A")</f>
        <v>#N/A</v>
      </c>
      <c r="L268" s="13" t="str">
        <f ca="1">IFERROR(__xludf.DUMMYFUNCTION("AVERAGE(index(GOOGLEFINANCE(""NSE:""&amp;$A268, ""close"", today()-14, today()-1), , 2))"),"#N/A")</f>
        <v>#N/A</v>
      </c>
      <c r="M268" s="13" t="str">
        <f ca="1">IFERROR(__xludf.DUMMYFUNCTION("AVERAGE(index(GOOGLEFINANCE(""NSE:""&amp;$A268, ""close"", today()-22, today()-1), , 2))"),"#N/A")</f>
        <v>#N/A</v>
      </c>
      <c r="N268" s="13" t="str">
        <f t="shared" ca="1" si="82"/>
        <v>No_Action</v>
      </c>
      <c r="O268" s="13" t="str">
        <f t="shared" ca="1" si="83"/>
        <v>No_Action</v>
      </c>
      <c r="P268" s="13" t="str">
        <f t="shared" ca="1" si="84"/>
        <v>No_Action</v>
      </c>
      <c r="Q268" s="13" t="str">
        <f t="shared" ca="1" si="85"/>
        <v>No_Action</v>
      </c>
      <c r="R268" s="15"/>
      <c r="S268" s="15" t="str">
        <f t="shared" ca="1" si="86"/>
        <v>NoNo</v>
      </c>
      <c r="T268" s="15"/>
      <c r="U268" s="15">
        <f t="shared" ca="1" si="87"/>
        <v>0</v>
      </c>
      <c r="V268" s="15">
        <f t="shared" ca="1" si="88"/>
        <v>0</v>
      </c>
      <c r="W268" s="15" t="str">
        <f t="shared" ca="1" si="89"/>
        <v>No_Action</v>
      </c>
      <c r="X268" s="15"/>
      <c r="Y268" s="15" t="str">
        <f t="shared" ca="1" si="90"/>
        <v>No_Action</v>
      </c>
      <c r="Z268" s="15">
        <f t="shared" ca="1" si="91"/>
        <v>0</v>
      </c>
      <c r="AA268" s="15">
        <f t="shared" ca="1" si="92"/>
        <v>0</v>
      </c>
      <c r="AB268" s="15"/>
      <c r="AC268" s="15" t="str">
        <f t="shared" ca="1" si="93"/>
        <v>NoNo</v>
      </c>
      <c r="AD268" s="15"/>
      <c r="AE268" s="15">
        <f t="shared" ca="1" si="94"/>
        <v>0</v>
      </c>
      <c r="AF268" s="16">
        <f t="shared" ca="1" si="95"/>
        <v>0</v>
      </c>
      <c r="AG268" s="16" t="str">
        <f t="shared" ca="1" si="96"/>
        <v>No_Action</v>
      </c>
      <c r="AH268" s="15"/>
      <c r="AI268" s="15" t="str">
        <f t="shared" ca="1" si="97"/>
        <v>No_Action</v>
      </c>
      <c r="AJ268" s="15">
        <f t="shared" ca="1" si="98"/>
        <v>0</v>
      </c>
      <c r="AK268" s="15">
        <f t="shared" ca="1" si="99"/>
        <v>0</v>
      </c>
    </row>
    <row r="269" spans="1:37" ht="14.5" customHeight="1" x14ac:dyDescent="0.35">
      <c r="A269" s="12" t="s">
        <v>285</v>
      </c>
      <c r="B269" s="13">
        <f ca="1">IFERROR(__xludf.DUMMYFUNCTION("GOOGLEFINANCE(""NSE:""&amp;A269,""PRICE"")"),345)</f>
        <v>345</v>
      </c>
      <c r="C269" s="13">
        <f ca="1">IFERROR(__xludf.DUMMYFUNCTION("GOOGLEFINANCE(""NSE:""&amp;A269,""PRICEOPEN"")"),345)</f>
        <v>345</v>
      </c>
      <c r="D269" s="13">
        <f ca="1">IFERROR(__xludf.DUMMYFUNCTION("GOOGLEFINANCE(""NSE:""&amp;A269,""HIGH"")"),348.1)</f>
        <v>348.1</v>
      </c>
      <c r="E269" s="13">
        <f ca="1">IFERROR(__xludf.DUMMYFUNCTION("GOOGLEFINANCE(""NSE:""&amp;A269,""LOW"")"),341.15)</f>
        <v>341.15</v>
      </c>
      <c r="F269" s="13">
        <f ca="1">IFERROR(__xludf.DUMMYFUNCTION("GOOGLEFINANCE(""NSE:""&amp;A269,""closeyest"")"),345.15)</f>
        <v>345.15</v>
      </c>
      <c r="G269" s="14">
        <f t="shared" ca="1" si="80"/>
        <v>0</v>
      </c>
      <c r="H269" s="13">
        <f ca="1">IFERROR(__xludf.DUMMYFUNCTION("GOOGLEFINANCE(""NSE:""&amp;A269,""VOLUME"")"),43287)</f>
        <v>43287</v>
      </c>
      <c r="I269" s="13" t="str">
        <f ca="1">IFERROR(__xludf.DUMMYFUNCTION("AVERAGE(index(GOOGLEFINANCE(""NSE:""&amp;$A269, ""volume"", today()-21, today()-1), , 2))"),"#N/A")</f>
        <v>#N/A</v>
      </c>
      <c r="J269" s="14" t="e">
        <f t="shared" ca="1" si="81"/>
        <v>#VALUE!</v>
      </c>
      <c r="K269" s="13" t="str">
        <f ca="1">IFERROR(__xludf.DUMMYFUNCTION("AVERAGE(index(GOOGLEFINANCE(""NSE:""&amp;$A269, ""close"", today()-6, today()-1), , 2))"),"#N/A")</f>
        <v>#N/A</v>
      </c>
      <c r="L269" s="13" t="str">
        <f ca="1">IFERROR(__xludf.DUMMYFUNCTION("AVERAGE(index(GOOGLEFINANCE(""NSE:""&amp;$A269, ""close"", today()-14, today()-1), , 2))"),"#N/A")</f>
        <v>#N/A</v>
      </c>
      <c r="M269" s="13" t="str">
        <f ca="1">IFERROR(__xludf.DUMMYFUNCTION("AVERAGE(index(GOOGLEFINANCE(""NSE:""&amp;$A269, ""close"", today()-22, today()-1), , 2))"),"#N/A")</f>
        <v>#N/A</v>
      </c>
      <c r="N269" s="13" t="str">
        <f t="shared" ca="1" si="82"/>
        <v>No_Action</v>
      </c>
      <c r="O269" s="13" t="str">
        <f t="shared" ca="1" si="83"/>
        <v>No_Action</v>
      </c>
      <c r="P269" s="13" t="str">
        <f t="shared" ca="1" si="84"/>
        <v>No_Action</v>
      </c>
      <c r="Q269" s="13" t="str">
        <f t="shared" ca="1" si="85"/>
        <v>No_Action</v>
      </c>
      <c r="R269" s="15"/>
      <c r="S269" s="15" t="str">
        <f t="shared" ca="1" si="86"/>
        <v>NoNo</v>
      </c>
      <c r="T269" s="15"/>
      <c r="U269" s="15">
        <f t="shared" ca="1" si="87"/>
        <v>0</v>
      </c>
      <c r="V269" s="15">
        <f t="shared" ca="1" si="88"/>
        <v>0</v>
      </c>
      <c r="W269" s="15" t="str">
        <f t="shared" ca="1" si="89"/>
        <v>No_Action</v>
      </c>
      <c r="X269" s="15"/>
      <c r="Y269" s="15" t="str">
        <f t="shared" ca="1" si="90"/>
        <v>No_Action</v>
      </c>
      <c r="Z269" s="15">
        <f t="shared" ca="1" si="91"/>
        <v>0</v>
      </c>
      <c r="AA269" s="15">
        <f t="shared" ca="1" si="92"/>
        <v>0</v>
      </c>
      <c r="AB269" s="15"/>
      <c r="AC269" s="15" t="str">
        <f t="shared" ca="1" si="93"/>
        <v>NoNo</v>
      </c>
      <c r="AD269" s="15"/>
      <c r="AE269" s="15">
        <f t="shared" ca="1" si="94"/>
        <v>0</v>
      </c>
      <c r="AF269" s="16">
        <f t="shared" ca="1" si="95"/>
        <v>0</v>
      </c>
      <c r="AG269" s="16" t="str">
        <f t="shared" ca="1" si="96"/>
        <v>No_Action</v>
      </c>
      <c r="AH269" s="15"/>
      <c r="AI269" s="15" t="str">
        <f t="shared" ca="1" si="97"/>
        <v>No_Action</v>
      </c>
      <c r="AJ269" s="15">
        <f t="shared" ca="1" si="98"/>
        <v>0</v>
      </c>
      <c r="AK269" s="15">
        <f t="shared" ca="1" si="99"/>
        <v>0</v>
      </c>
    </row>
    <row r="270" spans="1:37" ht="14.5" customHeight="1" x14ac:dyDescent="0.35">
      <c r="A270" s="12" t="s">
        <v>286</v>
      </c>
      <c r="B270" s="13">
        <f ca="1">IFERROR(__xludf.DUMMYFUNCTION("GOOGLEFINANCE(""NSE:""&amp;A270,""PRICE"")"),237.75)</f>
        <v>237.75</v>
      </c>
      <c r="C270" s="13">
        <f ca="1">IFERROR(__xludf.DUMMYFUNCTION("GOOGLEFINANCE(""NSE:""&amp;A270,""PRICEOPEN"")"),239.06)</f>
        <v>239.06</v>
      </c>
      <c r="D270" s="13">
        <f ca="1">IFERROR(__xludf.DUMMYFUNCTION("GOOGLEFINANCE(""NSE:""&amp;A270,""HIGH"")"),241.78)</f>
        <v>241.78</v>
      </c>
      <c r="E270" s="13">
        <f ca="1">IFERROR(__xludf.DUMMYFUNCTION("GOOGLEFINANCE(""NSE:""&amp;A270,""LOW"")"),237.5)</f>
        <v>237.5</v>
      </c>
      <c r="F270" s="13">
        <f ca="1">IFERROR(__xludf.DUMMYFUNCTION("GOOGLEFINANCE(""NSE:""&amp;A270,""closeyest"")"),238.86)</f>
        <v>238.86</v>
      </c>
      <c r="G270" s="14">
        <f t="shared" ca="1" si="80"/>
        <v>-5.5099894847529009E-3</v>
      </c>
      <c r="H270" s="13">
        <f ca="1">IFERROR(__xludf.DUMMYFUNCTION("GOOGLEFINANCE(""NSE:""&amp;A270,""VOLUME"")"),1289079)</f>
        <v>1289079</v>
      </c>
      <c r="I270" s="13" t="str">
        <f ca="1">IFERROR(__xludf.DUMMYFUNCTION("AVERAGE(index(GOOGLEFINANCE(""NSE:""&amp;$A270, ""volume"", today()-21, today()-1), , 2))"),"#N/A")</f>
        <v>#N/A</v>
      </c>
      <c r="J270" s="14" t="e">
        <f t="shared" ca="1" si="81"/>
        <v>#VALUE!</v>
      </c>
      <c r="K270" s="13" t="str">
        <f ca="1">IFERROR(__xludf.DUMMYFUNCTION("AVERAGE(index(GOOGLEFINANCE(""NSE:""&amp;$A270, ""close"", today()-6, today()-1), , 2))"),"#N/A")</f>
        <v>#N/A</v>
      </c>
      <c r="L270" s="13" t="str">
        <f ca="1">IFERROR(__xludf.DUMMYFUNCTION("AVERAGE(index(GOOGLEFINANCE(""NSE:""&amp;$A270, ""close"", today()-14, today()-1), , 2))"),"#N/A")</f>
        <v>#N/A</v>
      </c>
      <c r="M270" s="13" t="str">
        <f ca="1">IFERROR(__xludf.DUMMYFUNCTION("AVERAGE(index(GOOGLEFINANCE(""NSE:""&amp;$A270, ""close"", today()-22, today()-1), , 2))"),"#N/A")</f>
        <v>#N/A</v>
      </c>
      <c r="N270" s="13" t="str">
        <f t="shared" ca="1" si="82"/>
        <v>No_Action</v>
      </c>
      <c r="O270" s="13" t="str">
        <f t="shared" ca="1" si="83"/>
        <v>No_Action</v>
      </c>
      <c r="P270" s="13" t="str">
        <f t="shared" ca="1" si="84"/>
        <v>No_Action</v>
      </c>
      <c r="Q270" s="13" t="str">
        <f t="shared" ca="1" si="85"/>
        <v>No_Action</v>
      </c>
      <c r="R270" s="15"/>
      <c r="S270" s="15" t="str">
        <f t="shared" ca="1" si="86"/>
        <v>NoNo</v>
      </c>
      <c r="T270" s="15"/>
      <c r="U270" s="15">
        <f t="shared" ca="1" si="87"/>
        <v>0</v>
      </c>
      <c r="V270" s="15">
        <f t="shared" ca="1" si="88"/>
        <v>0</v>
      </c>
      <c r="W270" s="15" t="str">
        <f t="shared" ca="1" si="89"/>
        <v>No_Action</v>
      </c>
      <c r="X270" s="15"/>
      <c r="Y270" s="15" t="str">
        <f t="shared" ca="1" si="90"/>
        <v>No_Action</v>
      </c>
      <c r="Z270" s="15">
        <f t="shared" ca="1" si="91"/>
        <v>0</v>
      </c>
      <c r="AA270" s="15">
        <f t="shared" ca="1" si="92"/>
        <v>0</v>
      </c>
      <c r="AB270" s="15"/>
      <c r="AC270" s="15" t="str">
        <f t="shared" ca="1" si="93"/>
        <v>NoNo</v>
      </c>
      <c r="AD270" s="15"/>
      <c r="AE270" s="15">
        <f t="shared" ca="1" si="94"/>
        <v>0</v>
      </c>
      <c r="AF270" s="16">
        <f t="shared" ca="1" si="95"/>
        <v>0</v>
      </c>
      <c r="AG270" s="16" t="str">
        <f t="shared" ca="1" si="96"/>
        <v>No_Action</v>
      </c>
      <c r="AH270" s="15"/>
      <c r="AI270" s="15" t="str">
        <f t="shared" ca="1" si="97"/>
        <v>No_Action</v>
      </c>
      <c r="AJ270" s="15">
        <f t="shared" ca="1" si="98"/>
        <v>0</v>
      </c>
      <c r="AK270" s="15">
        <f t="shared" ca="1" si="99"/>
        <v>0</v>
      </c>
    </row>
    <row r="271" spans="1:37" ht="14.5" customHeight="1" x14ac:dyDescent="0.35">
      <c r="A271" s="12" t="s">
        <v>287</v>
      </c>
      <c r="B271" s="13">
        <f ca="1">IFERROR(__xludf.DUMMYFUNCTION("GOOGLEFINANCE(""NSE:""&amp;A271,""PRICE"")"),947.95)</f>
        <v>947.95</v>
      </c>
      <c r="C271" s="13">
        <f ca="1">IFERROR(__xludf.DUMMYFUNCTION("GOOGLEFINANCE(""NSE:""&amp;A271,""PRICEOPEN"")"),928.25)</f>
        <v>928.25</v>
      </c>
      <c r="D271" s="13">
        <f ca="1">IFERROR(__xludf.DUMMYFUNCTION("GOOGLEFINANCE(""NSE:""&amp;A271,""HIGH"")"),965)</f>
        <v>965</v>
      </c>
      <c r="E271" s="13">
        <f ca="1">IFERROR(__xludf.DUMMYFUNCTION("GOOGLEFINANCE(""NSE:""&amp;A271,""LOW"")"),928.25)</f>
        <v>928.25</v>
      </c>
      <c r="F271" s="13">
        <f ca="1">IFERROR(__xludf.DUMMYFUNCTION("GOOGLEFINANCE(""NSE:""&amp;A271,""closeyest"")"),919.45)</f>
        <v>919.45</v>
      </c>
      <c r="G271" s="14">
        <f t="shared" ca="1" si="80"/>
        <v>2.0781686797826937E-2</v>
      </c>
      <c r="H271" s="13">
        <f ca="1">IFERROR(__xludf.DUMMYFUNCTION("GOOGLEFINANCE(""NSE:""&amp;A271,""VOLUME"")"),84525)</f>
        <v>84525</v>
      </c>
      <c r="I271" s="13" t="str">
        <f ca="1">IFERROR(__xludf.DUMMYFUNCTION("AVERAGE(index(GOOGLEFINANCE(""NSE:""&amp;$A271, ""volume"", today()-21, today()-1), , 2))"),"#N/A")</f>
        <v>#N/A</v>
      </c>
      <c r="J271" s="14" t="e">
        <f t="shared" ca="1" si="81"/>
        <v>#VALUE!</v>
      </c>
      <c r="K271" s="13" t="str">
        <f ca="1">IFERROR(__xludf.DUMMYFUNCTION("AVERAGE(index(GOOGLEFINANCE(""NSE:""&amp;$A271, ""close"", today()-6, today()-1), , 2))"),"#N/A")</f>
        <v>#N/A</v>
      </c>
      <c r="L271" s="13" t="str">
        <f ca="1">IFERROR(__xludf.DUMMYFUNCTION("AVERAGE(index(GOOGLEFINANCE(""NSE:""&amp;$A271, ""close"", today()-14, today()-1), , 2))"),"#N/A")</f>
        <v>#N/A</v>
      </c>
      <c r="M271" s="13" t="str">
        <f ca="1">IFERROR(__xludf.DUMMYFUNCTION("AVERAGE(index(GOOGLEFINANCE(""NSE:""&amp;$A271, ""close"", today()-22, today()-1), , 2))"),"#N/A")</f>
        <v>#N/A</v>
      </c>
      <c r="N271" s="13" t="str">
        <f t="shared" ca="1" si="82"/>
        <v>No_Action</v>
      </c>
      <c r="O271" s="13" t="str">
        <f t="shared" ca="1" si="83"/>
        <v>No_Action</v>
      </c>
      <c r="P271" s="13" t="str">
        <f t="shared" ca="1" si="84"/>
        <v>No_Action</v>
      </c>
      <c r="Q271" s="13" t="str">
        <f t="shared" ca="1" si="85"/>
        <v>No_Action</v>
      </c>
      <c r="R271" s="15"/>
      <c r="S271" s="15" t="str">
        <f t="shared" ca="1" si="86"/>
        <v>NoNo</v>
      </c>
      <c r="T271" s="15"/>
      <c r="U271" s="15">
        <f t="shared" ca="1" si="87"/>
        <v>0</v>
      </c>
      <c r="V271" s="15">
        <f t="shared" ca="1" si="88"/>
        <v>0</v>
      </c>
      <c r="W271" s="15" t="str">
        <f t="shared" ca="1" si="89"/>
        <v>No_Action</v>
      </c>
      <c r="X271" s="15"/>
      <c r="Y271" s="15" t="str">
        <f t="shared" ca="1" si="90"/>
        <v>No_Action</v>
      </c>
      <c r="Z271" s="15">
        <f t="shared" ca="1" si="91"/>
        <v>0</v>
      </c>
      <c r="AA271" s="15">
        <f t="shared" ca="1" si="92"/>
        <v>0</v>
      </c>
      <c r="AB271" s="15"/>
      <c r="AC271" s="15" t="str">
        <f t="shared" ca="1" si="93"/>
        <v>NoNo</v>
      </c>
      <c r="AD271" s="15"/>
      <c r="AE271" s="15">
        <f t="shared" ca="1" si="94"/>
        <v>0</v>
      </c>
      <c r="AF271" s="16">
        <f t="shared" ca="1" si="95"/>
        <v>0</v>
      </c>
      <c r="AG271" s="16" t="str">
        <f t="shared" ca="1" si="96"/>
        <v>No_Action</v>
      </c>
      <c r="AH271" s="15"/>
      <c r="AI271" s="15" t="str">
        <f t="shared" ca="1" si="97"/>
        <v>No_Action</v>
      </c>
      <c r="AJ271" s="15">
        <f t="shared" ca="1" si="98"/>
        <v>0</v>
      </c>
      <c r="AK271" s="15">
        <f t="shared" ca="1" si="99"/>
        <v>0</v>
      </c>
    </row>
    <row r="272" spans="1:37" ht="14.5" customHeight="1" x14ac:dyDescent="0.35">
      <c r="A272" s="12" t="s">
        <v>288</v>
      </c>
      <c r="B272" s="13">
        <f ca="1">IFERROR(__xludf.DUMMYFUNCTION("GOOGLEFINANCE(""NSE:""&amp;A272,""PRICE"")"),2622.95)</f>
        <v>2622.95</v>
      </c>
      <c r="C272" s="13">
        <f ca="1">IFERROR(__xludf.DUMMYFUNCTION("GOOGLEFINANCE(""NSE:""&amp;A272,""PRICEOPEN"")"),2685)</f>
        <v>2685</v>
      </c>
      <c r="D272" s="13">
        <f ca="1">IFERROR(__xludf.DUMMYFUNCTION("GOOGLEFINANCE(""NSE:""&amp;A272,""HIGH"")"),2685)</f>
        <v>2685</v>
      </c>
      <c r="E272" s="13">
        <f ca="1">IFERROR(__xludf.DUMMYFUNCTION("GOOGLEFINANCE(""NSE:""&amp;A272,""LOW"")"),2612)</f>
        <v>2612</v>
      </c>
      <c r="F272" s="13">
        <f ca="1">IFERROR(__xludf.DUMMYFUNCTION("GOOGLEFINANCE(""NSE:""&amp;A272,""closeyest"")"),2661.05)</f>
        <v>2661.05</v>
      </c>
      <c r="G272" s="14">
        <f t="shared" ca="1" si="80"/>
        <v>-2.3656569892678163E-2</v>
      </c>
      <c r="H272" s="13">
        <f ca="1">IFERROR(__xludf.DUMMYFUNCTION("GOOGLEFINANCE(""NSE:""&amp;A272,""VOLUME"")"),50582)</f>
        <v>50582</v>
      </c>
      <c r="I272" s="13" t="str">
        <f ca="1">IFERROR(__xludf.DUMMYFUNCTION("AVERAGE(index(GOOGLEFINANCE(""NSE:""&amp;$A272, ""volume"", today()-21, today()-1), , 2))"),"#N/A")</f>
        <v>#N/A</v>
      </c>
      <c r="J272" s="14" t="e">
        <f t="shared" ca="1" si="81"/>
        <v>#VALUE!</v>
      </c>
      <c r="K272" s="13" t="str">
        <f ca="1">IFERROR(__xludf.DUMMYFUNCTION("AVERAGE(index(GOOGLEFINANCE(""NSE:""&amp;$A272, ""close"", today()-6, today()-1), , 2))"),"#N/A")</f>
        <v>#N/A</v>
      </c>
      <c r="L272" s="13" t="str">
        <f ca="1">IFERROR(__xludf.DUMMYFUNCTION("AVERAGE(index(GOOGLEFINANCE(""NSE:""&amp;$A272, ""close"", today()-14, today()-1), , 2))"),"#N/A")</f>
        <v>#N/A</v>
      </c>
      <c r="M272" s="13" t="str">
        <f ca="1">IFERROR(__xludf.DUMMYFUNCTION("AVERAGE(index(GOOGLEFINANCE(""NSE:""&amp;$A272, ""close"", today()-22, today()-1), , 2))"),"#N/A")</f>
        <v>#N/A</v>
      </c>
      <c r="N272" s="13" t="str">
        <f t="shared" ca="1" si="82"/>
        <v>No_Action</v>
      </c>
      <c r="O272" s="13" t="str">
        <f t="shared" ca="1" si="83"/>
        <v>No_Action</v>
      </c>
      <c r="P272" s="13" t="str">
        <f t="shared" ca="1" si="84"/>
        <v>No_Action</v>
      </c>
      <c r="Q272" s="13" t="str">
        <f t="shared" ca="1" si="85"/>
        <v>No_Action</v>
      </c>
      <c r="R272" s="15"/>
      <c r="S272" s="15" t="str">
        <f t="shared" ca="1" si="86"/>
        <v>NoNo</v>
      </c>
      <c r="T272" s="15"/>
      <c r="U272" s="15">
        <f t="shared" ca="1" si="87"/>
        <v>0</v>
      </c>
      <c r="V272" s="15">
        <f t="shared" ca="1" si="88"/>
        <v>0</v>
      </c>
      <c r="W272" s="15" t="str">
        <f t="shared" ca="1" si="89"/>
        <v>No_Action</v>
      </c>
      <c r="X272" s="15"/>
      <c r="Y272" s="15" t="str">
        <f t="shared" ca="1" si="90"/>
        <v>No_Action</v>
      </c>
      <c r="Z272" s="15">
        <f t="shared" ca="1" si="91"/>
        <v>0</v>
      </c>
      <c r="AA272" s="15">
        <f t="shared" ca="1" si="92"/>
        <v>0</v>
      </c>
      <c r="AB272" s="15"/>
      <c r="AC272" s="15" t="str">
        <f t="shared" ca="1" si="93"/>
        <v>NoNo</v>
      </c>
      <c r="AD272" s="15"/>
      <c r="AE272" s="15">
        <f t="shared" ca="1" si="94"/>
        <v>0</v>
      </c>
      <c r="AF272" s="16">
        <f t="shared" ca="1" si="95"/>
        <v>0</v>
      </c>
      <c r="AG272" s="16" t="str">
        <f t="shared" ca="1" si="96"/>
        <v>No_Action</v>
      </c>
      <c r="AH272" s="15"/>
      <c r="AI272" s="15" t="str">
        <f t="shared" ca="1" si="97"/>
        <v>No_Action</v>
      </c>
      <c r="AJ272" s="15">
        <f t="shared" ca="1" si="98"/>
        <v>0</v>
      </c>
      <c r="AK272" s="15">
        <f t="shared" ca="1" si="99"/>
        <v>0</v>
      </c>
    </row>
    <row r="273" spans="1:37" ht="14.5" customHeight="1" x14ac:dyDescent="0.35">
      <c r="A273" s="12" t="s">
        <v>289</v>
      </c>
      <c r="B273" s="13">
        <f ca="1">IFERROR(__xludf.DUMMYFUNCTION("GOOGLEFINANCE(""NSE:""&amp;A273,""PRICE"")"),167.51)</f>
        <v>167.51</v>
      </c>
      <c r="C273" s="13">
        <f ca="1">IFERROR(__xludf.DUMMYFUNCTION("GOOGLEFINANCE(""NSE:""&amp;A273,""PRICEOPEN"")"),162.2)</f>
        <v>162.19999999999999</v>
      </c>
      <c r="D273" s="13">
        <f ca="1">IFERROR(__xludf.DUMMYFUNCTION("GOOGLEFINANCE(""NSE:""&amp;A273,""HIGH"")"),168.7)</f>
        <v>168.7</v>
      </c>
      <c r="E273" s="13">
        <f ca="1">IFERROR(__xludf.DUMMYFUNCTION("GOOGLEFINANCE(""NSE:""&amp;A273,""LOW"")"),160.5)</f>
        <v>160.5</v>
      </c>
      <c r="F273" s="13">
        <f ca="1">IFERROR(__xludf.DUMMYFUNCTION("GOOGLEFINANCE(""NSE:""&amp;A273,""closeyest"")"),161.02)</f>
        <v>161.02000000000001</v>
      </c>
      <c r="G273" s="14">
        <f t="shared" ca="1" si="80"/>
        <v>3.1699600023879185E-2</v>
      </c>
      <c r="H273" s="13">
        <f ca="1">IFERROR(__xludf.DUMMYFUNCTION("GOOGLEFINANCE(""NSE:""&amp;A273,""VOLUME"")"),15521205)</f>
        <v>15521205</v>
      </c>
      <c r="I273" s="13" t="str">
        <f ca="1">IFERROR(__xludf.DUMMYFUNCTION("AVERAGE(index(GOOGLEFINANCE(""NSE:""&amp;$A273, ""volume"", today()-21, today()-1), , 2))"),"#N/A")</f>
        <v>#N/A</v>
      </c>
      <c r="J273" s="14" t="e">
        <f t="shared" ca="1" si="81"/>
        <v>#VALUE!</v>
      </c>
      <c r="K273" s="13" t="str">
        <f ca="1">IFERROR(__xludf.DUMMYFUNCTION("AVERAGE(index(GOOGLEFINANCE(""NSE:""&amp;$A273, ""close"", today()-6, today()-1), , 2))"),"#N/A")</f>
        <v>#N/A</v>
      </c>
      <c r="L273" s="13" t="str">
        <f ca="1">IFERROR(__xludf.DUMMYFUNCTION("AVERAGE(index(GOOGLEFINANCE(""NSE:""&amp;$A273, ""close"", today()-14, today()-1), , 2))"),"#N/A")</f>
        <v>#N/A</v>
      </c>
      <c r="M273" s="13" t="str">
        <f ca="1">IFERROR(__xludf.DUMMYFUNCTION("AVERAGE(index(GOOGLEFINANCE(""NSE:""&amp;$A273, ""close"", today()-22, today()-1), , 2))"),"#N/A")</f>
        <v>#N/A</v>
      </c>
      <c r="N273" s="13" t="str">
        <f t="shared" ca="1" si="82"/>
        <v>No_Action</v>
      </c>
      <c r="O273" s="13" t="str">
        <f t="shared" ca="1" si="83"/>
        <v>No_Action</v>
      </c>
      <c r="P273" s="13" t="str">
        <f t="shared" ca="1" si="84"/>
        <v>No_Action</v>
      </c>
      <c r="Q273" s="13" t="str">
        <f t="shared" ca="1" si="85"/>
        <v>No_Action</v>
      </c>
      <c r="R273" s="15"/>
      <c r="S273" s="15" t="str">
        <f t="shared" ca="1" si="86"/>
        <v>NoNo</v>
      </c>
      <c r="T273" s="15"/>
      <c r="U273" s="15">
        <f t="shared" ca="1" si="87"/>
        <v>0</v>
      </c>
      <c r="V273" s="15">
        <f t="shared" ca="1" si="88"/>
        <v>0</v>
      </c>
      <c r="W273" s="15" t="str">
        <f t="shared" ca="1" si="89"/>
        <v>No_Action</v>
      </c>
      <c r="X273" s="15"/>
      <c r="Y273" s="15" t="str">
        <f t="shared" ca="1" si="90"/>
        <v>No_Action</v>
      </c>
      <c r="Z273" s="15">
        <f t="shared" ca="1" si="91"/>
        <v>0</v>
      </c>
      <c r="AA273" s="15">
        <f t="shared" ca="1" si="92"/>
        <v>0</v>
      </c>
      <c r="AB273" s="15"/>
      <c r="AC273" s="15" t="str">
        <f t="shared" ca="1" si="93"/>
        <v>NoNo</v>
      </c>
      <c r="AD273" s="15"/>
      <c r="AE273" s="15">
        <f t="shared" ca="1" si="94"/>
        <v>0</v>
      </c>
      <c r="AF273" s="16">
        <f t="shared" ca="1" si="95"/>
        <v>0</v>
      </c>
      <c r="AG273" s="16" t="str">
        <f t="shared" ca="1" si="96"/>
        <v>No_Action</v>
      </c>
      <c r="AH273" s="15"/>
      <c r="AI273" s="15" t="str">
        <f t="shared" ca="1" si="97"/>
        <v>No_Action</v>
      </c>
      <c r="AJ273" s="15">
        <f t="shared" ca="1" si="98"/>
        <v>0</v>
      </c>
      <c r="AK273" s="15">
        <f t="shared" ca="1" si="99"/>
        <v>0</v>
      </c>
    </row>
    <row r="274" spans="1:37" ht="14.5" customHeight="1" x14ac:dyDescent="0.35">
      <c r="A274" s="12" t="s">
        <v>290</v>
      </c>
      <c r="B274" s="13">
        <f ca="1">IFERROR(__xludf.DUMMYFUNCTION("GOOGLEFINANCE(""NSE:""&amp;A274,""PRICE"")"),532.5)</f>
        <v>532.5</v>
      </c>
      <c r="C274" s="13">
        <f ca="1">IFERROR(__xludf.DUMMYFUNCTION("GOOGLEFINANCE(""NSE:""&amp;A274,""PRICEOPEN"")"),530)</f>
        <v>530</v>
      </c>
      <c r="D274" s="13">
        <f ca="1">IFERROR(__xludf.DUMMYFUNCTION("GOOGLEFINANCE(""NSE:""&amp;A274,""HIGH"")"),540)</f>
        <v>540</v>
      </c>
      <c r="E274" s="13">
        <f ca="1">IFERROR(__xludf.DUMMYFUNCTION("GOOGLEFINANCE(""NSE:""&amp;A274,""LOW"")"),528.05)</f>
        <v>528.04999999999995</v>
      </c>
      <c r="F274" s="13">
        <f ca="1">IFERROR(__xludf.DUMMYFUNCTION("GOOGLEFINANCE(""NSE:""&amp;A274,""closeyest"")"),527.5)</f>
        <v>527.5</v>
      </c>
      <c r="G274" s="14">
        <f t="shared" ca="1" si="80"/>
        <v>4.6948356807511738E-3</v>
      </c>
      <c r="H274" s="13">
        <f ca="1">IFERROR(__xludf.DUMMYFUNCTION("GOOGLEFINANCE(""NSE:""&amp;A274,""VOLUME"")"),148788)</f>
        <v>148788</v>
      </c>
      <c r="I274" s="13" t="str">
        <f ca="1">IFERROR(__xludf.DUMMYFUNCTION("AVERAGE(index(GOOGLEFINANCE(""NSE:""&amp;$A274, ""volume"", today()-21, today()-1), , 2))"),"#N/A")</f>
        <v>#N/A</v>
      </c>
      <c r="J274" s="14" t="e">
        <f t="shared" ca="1" si="81"/>
        <v>#VALUE!</v>
      </c>
      <c r="K274" s="13" t="str">
        <f ca="1">IFERROR(__xludf.DUMMYFUNCTION("AVERAGE(index(GOOGLEFINANCE(""NSE:""&amp;$A274, ""close"", today()-6, today()-1), , 2))"),"#N/A")</f>
        <v>#N/A</v>
      </c>
      <c r="L274" s="13" t="str">
        <f ca="1">IFERROR(__xludf.DUMMYFUNCTION("AVERAGE(index(GOOGLEFINANCE(""NSE:""&amp;$A274, ""close"", today()-14, today()-1), , 2))"),"#N/A")</f>
        <v>#N/A</v>
      </c>
      <c r="M274" s="13" t="str">
        <f ca="1">IFERROR(__xludf.DUMMYFUNCTION("AVERAGE(index(GOOGLEFINANCE(""NSE:""&amp;$A274, ""close"", today()-22, today()-1), , 2))"),"#N/A")</f>
        <v>#N/A</v>
      </c>
      <c r="N274" s="13" t="str">
        <f t="shared" ca="1" si="82"/>
        <v>No_Action</v>
      </c>
      <c r="O274" s="13" t="str">
        <f t="shared" ca="1" si="83"/>
        <v>No_Action</v>
      </c>
      <c r="P274" s="13" t="str">
        <f t="shared" ca="1" si="84"/>
        <v>No_Action</v>
      </c>
      <c r="Q274" s="13" t="str">
        <f t="shared" ca="1" si="85"/>
        <v>No_Action</v>
      </c>
      <c r="R274" s="15"/>
      <c r="S274" s="15" t="str">
        <f t="shared" ca="1" si="86"/>
        <v>NoNo</v>
      </c>
      <c r="T274" s="15"/>
      <c r="U274" s="15">
        <f t="shared" ca="1" si="87"/>
        <v>0</v>
      </c>
      <c r="V274" s="15">
        <f t="shared" ca="1" si="88"/>
        <v>0</v>
      </c>
      <c r="W274" s="15" t="str">
        <f t="shared" ca="1" si="89"/>
        <v>No_Action</v>
      </c>
      <c r="X274" s="15"/>
      <c r="Y274" s="15" t="str">
        <f t="shared" ca="1" si="90"/>
        <v>No_Action</v>
      </c>
      <c r="Z274" s="15">
        <f t="shared" ca="1" si="91"/>
        <v>0</v>
      </c>
      <c r="AA274" s="15">
        <f t="shared" ca="1" si="92"/>
        <v>0</v>
      </c>
      <c r="AB274" s="15"/>
      <c r="AC274" s="15" t="str">
        <f t="shared" ca="1" si="93"/>
        <v>NoNo</v>
      </c>
      <c r="AD274" s="15"/>
      <c r="AE274" s="15">
        <f t="shared" ca="1" si="94"/>
        <v>0</v>
      </c>
      <c r="AF274" s="16">
        <f t="shared" ca="1" si="95"/>
        <v>0</v>
      </c>
      <c r="AG274" s="16" t="str">
        <f t="shared" ca="1" si="96"/>
        <v>No_Action</v>
      </c>
      <c r="AH274" s="15"/>
      <c r="AI274" s="15" t="str">
        <f t="shared" ca="1" si="97"/>
        <v>No_Action</v>
      </c>
      <c r="AJ274" s="15">
        <f t="shared" ca="1" si="98"/>
        <v>0</v>
      </c>
      <c r="AK274" s="15">
        <f t="shared" ca="1" si="99"/>
        <v>0</v>
      </c>
    </row>
    <row r="275" spans="1:37" ht="14.5" customHeight="1" x14ac:dyDescent="0.35">
      <c r="A275" s="12" t="s">
        <v>291</v>
      </c>
      <c r="B275" s="13">
        <f ca="1">IFERROR(__xludf.DUMMYFUNCTION("GOOGLEFINANCE(""NSE:""&amp;A275,""PRICE"")"),346.8)</f>
        <v>346.8</v>
      </c>
      <c r="C275" s="13">
        <f ca="1">IFERROR(__xludf.DUMMYFUNCTION("GOOGLEFINANCE(""NSE:""&amp;A275,""PRICEOPEN"")"),332)</f>
        <v>332</v>
      </c>
      <c r="D275" s="13">
        <f ca="1">IFERROR(__xludf.DUMMYFUNCTION("GOOGLEFINANCE(""NSE:""&amp;A275,""HIGH"")"),350.95)</f>
        <v>350.95</v>
      </c>
      <c r="E275" s="13">
        <f ca="1">IFERROR(__xludf.DUMMYFUNCTION("GOOGLEFINANCE(""NSE:""&amp;A275,""LOW"")"),330.05)</f>
        <v>330.05</v>
      </c>
      <c r="F275" s="13">
        <f ca="1">IFERROR(__xludf.DUMMYFUNCTION("GOOGLEFINANCE(""NSE:""&amp;A275,""closeyest"")"),331.7)</f>
        <v>331.7</v>
      </c>
      <c r="G275" s="14">
        <f t="shared" ca="1" si="80"/>
        <v>4.2675893886966583E-2</v>
      </c>
      <c r="H275" s="13">
        <f ca="1">IFERROR(__xludf.DUMMYFUNCTION("GOOGLEFINANCE(""NSE:""&amp;A275,""VOLUME"")"),755410)</f>
        <v>755410</v>
      </c>
      <c r="I275" s="13" t="str">
        <f ca="1">IFERROR(__xludf.DUMMYFUNCTION("AVERAGE(index(GOOGLEFINANCE(""NSE:""&amp;$A275, ""volume"", today()-21, today()-1), , 2))"),"#N/A")</f>
        <v>#N/A</v>
      </c>
      <c r="J275" s="14" t="e">
        <f t="shared" ca="1" si="81"/>
        <v>#VALUE!</v>
      </c>
      <c r="K275" s="13" t="str">
        <f ca="1">IFERROR(__xludf.DUMMYFUNCTION("AVERAGE(index(GOOGLEFINANCE(""NSE:""&amp;$A275, ""close"", today()-6, today()-1), , 2))"),"#N/A")</f>
        <v>#N/A</v>
      </c>
      <c r="L275" s="13" t="str">
        <f ca="1">IFERROR(__xludf.DUMMYFUNCTION("AVERAGE(index(GOOGLEFINANCE(""NSE:""&amp;$A275, ""close"", today()-14, today()-1), , 2))"),"#N/A")</f>
        <v>#N/A</v>
      </c>
      <c r="M275" s="13" t="str">
        <f ca="1">IFERROR(__xludf.DUMMYFUNCTION("AVERAGE(index(GOOGLEFINANCE(""NSE:""&amp;$A275, ""close"", today()-22, today()-1), , 2))"),"#N/A")</f>
        <v>#N/A</v>
      </c>
      <c r="N275" s="13" t="str">
        <f t="shared" ca="1" si="82"/>
        <v>No_Action</v>
      </c>
      <c r="O275" s="13" t="str">
        <f t="shared" ca="1" si="83"/>
        <v>No_Action</v>
      </c>
      <c r="P275" s="13" t="str">
        <f t="shared" ca="1" si="84"/>
        <v>No_Action</v>
      </c>
      <c r="Q275" s="13" t="str">
        <f t="shared" ca="1" si="85"/>
        <v>No_Action</v>
      </c>
      <c r="R275" s="15"/>
      <c r="S275" s="15" t="str">
        <f t="shared" ca="1" si="86"/>
        <v>NoNo</v>
      </c>
      <c r="T275" s="15"/>
      <c r="U275" s="15">
        <f t="shared" ca="1" si="87"/>
        <v>0</v>
      </c>
      <c r="V275" s="15">
        <f t="shared" ca="1" si="88"/>
        <v>0</v>
      </c>
      <c r="W275" s="15" t="str">
        <f t="shared" ca="1" si="89"/>
        <v>No_Action</v>
      </c>
      <c r="X275" s="15"/>
      <c r="Y275" s="15" t="str">
        <f t="shared" ca="1" si="90"/>
        <v>No_Action</v>
      </c>
      <c r="Z275" s="15">
        <f t="shared" ca="1" si="91"/>
        <v>0</v>
      </c>
      <c r="AA275" s="15">
        <f t="shared" ca="1" si="92"/>
        <v>0</v>
      </c>
      <c r="AB275" s="15"/>
      <c r="AC275" s="15" t="str">
        <f t="shared" ca="1" si="93"/>
        <v>NoNo</v>
      </c>
      <c r="AD275" s="15"/>
      <c r="AE275" s="15">
        <f t="shared" ca="1" si="94"/>
        <v>0</v>
      </c>
      <c r="AF275" s="16">
        <f t="shared" ca="1" si="95"/>
        <v>0</v>
      </c>
      <c r="AG275" s="16" t="str">
        <f t="shared" ca="1" si="96"/>
        <v>No_Action</v>
      </c>
      <c r="AH275" s="15"/>
      <c r="AI275" s="15" t="str">
        <f t="shared" ca="1" si="97"/>
        <v>No_Action</v>
      </c>
      <c r="AJ275" s="15">
        <f t="shared" ca="1" si="98"/>
        <v>0</v>
      </c>
      <c r="AK275" s="15">
        <f t="shared" ca="1" si="99"/>
        <v>0</v>
      </c>
    </row>
    <row r="276" spans="1:37" ht="14.5" customHeight="1" x14ac:dyDescent="0.35">
      <c r="A276" s="12" t="s">
        <v>292</v>
      </c>
      <c r="B276" s="13">
        <f ca="1">IFERROR(__xludf.DUMMYFUNCTION("GOOGLEFINANCE(""NSE:""&amp;A276,""PRICE"")"),6265)</f>
        <v>6265</v>
      </c>
      <c r="C276" s="13">
        <f ca="1">IFERROR(__xludf.DUMMYFUNCTION("GOOGLEFINANCE(""NSE:""&amp;A276,""PRICEOPEN"")"),6242)</f>
        <v>6242</v>
      </c>
      <c r="D276" s="13">
        <f ca="1">IFERROR(__xludf.DUMMYFUNCTION("GOOGLEFINANCE(""NSE:""&amp;A276,""HIGH"")"),6354.65)</f>
        <v>6354.65</v>
      </c>
      <c r="E276" s="13">
        <f ca="1">IFERROR(__xludf.DUMMYFUNCTION("GOOGLEFINANCE(""NSE:""&amp;A276,""LOW"")"),6182.85)</f>
        <v>6182.85</v>
      </c>
      <c r="F276" s="13">
        <f ca="1">IFERROR(__xludf.DUMMYFUNCTION("GOOGLEFINANCE(""NSE:""&amp;A276,""closeyest"")"),6242.3)</f>
        <v>6242.3</v>
      </c>
      <c r="G276" s="14">
        <f t="shared" ca="1" si="80"/>
        <v>3.6711891460494812E-3</v>
      </c>
      <c r="H276" s="13">
        <f ca="1">IFERROR(__xludf.DUMMYFUNCTION("GOOGLEFINANCE(""NSE:""&amp;A276,""VOLUME"")"),9455)</f>
        <v>9455</v>
      </c>
      <c r="I276" s="13" t="str">
        <f ca="1">IFERROR(__xludf.DUMMYFUNCTION("AVERAGE(index(GOOGLEFINANCE(""NSE:""&amp;$A276, ""volume"", today()-21, today()-1), , 2))"),"#N/A")</f>
        <v>#N/A</v>
      </c>
      <c r="J276" s="14" t="e">
        <f t="shared" ca="1" si="81"/>
        <v>#VALUE!</v>
      </c>
      <c r="K276" s="13" t="str">
        <f ca="1">IFERROR(__xludf.DUMMYFUNCTION("AVERAGE(index(GOOGLEFINANCE(""NSE:""&amp;$A276, ""close"", today()-6, today()-1), , 2))"),"#N/A")</f>
        <v>#N/A</v>
      </c>
      <c r="L276" s="13" t="str">
        <f ca="1">IFERROR(__xludf.DUMMYFUNCTION("AVERAGE(index(GOOGLEFINANCE(""NSE:""&amp;$A276, ""close"", today()-14, today()-1), , 2))"),"#N/A")</f>
        <v>#N/A</v>
      </c>
      <c r="M276" s="13" t="str">
        <f ca="1">IFERROR(__xludf.DUMMYFUNCTION("AVERAGE(index(GOOGLEFINANCE(""NSE:""&amp;$A276, ""close"", today()-22, today()-1), , 2))"),"#N/A")</f>
        <v>#N/A</v>
      </c>
      <c r="N276" s="13" t="str">
        <f t="shared" ca="1" si="82"/>
        <v>No_Action</v>
      </c>
      <c r="O276" s="13" t="str">
        <f t="shared" ca="1" si="83"/>
        <v>No_Action</v>
      </c>
      <c r="P276" s="13" t="str">
        <f t="shared" ca="1" si="84"/>
        <v>No_Action</v>
      </c>
      <c r="Q276" s="13" t="str">
        <f t="shared" ca="1" si="85"/>
        <v>No_Action</v>
      </c>
      <c r="R276" s="15"/>
      <c r="S276" s="15" t="str">
        <f t="shared" ca="1" si="86"/>
        <v>NoNo</v>
      </c>
      <c r="T276" s="15"/>
      <c r="U276" s="15">
        <f t="shared" ca="1" si="87"/>
        <v>0</v>
      </c>
      <c r="V276" s="15">
        <f t="shared" ca="1" si="88"/>
        <v>0</v>
      </c>
      <c r="W276" s="15" t="str">
        <f t="shared" ca="1" si="89"/>
        <v>No_Action</v>
      </c>
      <c r="X276" s="15"/>
      <c r="Y276" s="15" t="str">
        <f t="shared" ca="1" si="90"/>
        <v>No_Action</v>
      </c>
      <c r="Z276" s="15">
        <f t="shared" ca="1" si="91"/>
        <v>0</v>
      </c>
      <c r="AA276" s="15">
        <f t="shared" ca="1" si="92"/>
        <v>0</v>
      </c>
      <c r="AB276" s="15"/>
      <c r="AC276" s="15" t="str">
        <f t="shared" ca="1" si="93"/>
        <v>NoNo</v>
      </c>
      <c r="AD276" s="15"/>
      <c r="AE276" s="15">
        <f t="shared" ca="1" si="94"/>
        <v>0</v>
      </c>
      <c r="AF276" s="16">
        <f t="shared" ca="1" si="95"/>
        <v>0</v>
      </c>
      <c r="AG276" s="16" t="str">
        <f t="shared" ca="1" si="96"/>
        <v>No_Action</v>
      </c>
      <c r="AH276" s="15"/>
      <c r="AI276" s="15" t="str">
        <f t="shared" ca="1" si="97"/>
        <v>No_Action</v>
      </c>
      <c r="AJ276" s="15">
        <f t="shared" ca="1" si="98"/>
        <v>0</v>
      </c>
      <c r="AK276" s="15">
        <f t="shared" ca="1" si="99"/>
        <v>0</v>
      </c>
    </row>
    <row r="277" spans="1:37" ht="14.5" customHeight="1" x14ac:dyDescent="0.35">
      <c r="A277" s="12" t="s">
        <v>293</v>
      </c>
      <c r="B277" s="13">
        <f ca="1">IFERROR(__xludf.DUMMYFUNCTION("GOOGLEFINANCE(""NSE:""&amp;A277,""PRICE"")"),486)</f>
        <v>486</v>
      </c>
      <c r="C277" s="13">
        <f ca="1">IFERROR(__xludf.DUMMYFUNCTION("GOOGLEFINANCE(""NSE:""&amp;A277,""PRICEOPEN"")"),471.7)</f>
        <v>471.7</v>
      </c>
      <c r="D277" s="13">
        <f ca="1">IFERROR(__xludf.DUMMYFUNCTION("GOOGLEFINANCE(""NSE:""&amp;A277,""HIGH"")"),488.7)</f>
        <v>488.7</v>
      </c>
      <c r="E277" s="13">
        <f ca="1">IFERROR(__xludf.DUMMYFUNCTION("GOOGLEFINANCE(""NSE:""&amp;A277,""LOW"")"),469.7)</f>
        <v>469.7</v>
      </c>
      <c r="F277" s="13">
        <f ca="1">IFERROR(__xludf.DUMMYFUNCTION("GOOGLEFINANCE(""NSE:""&amp;A277,""closeyest"")"),472.5)</f>
        <v>472.5</v>
      </c>
      <c r="G277" s="14">
        <f t="shared" ca="1" si="80"/>
        <v>2.9423868312757225E-2</v>
      </c>
      <c r="H277" s="13">
        <f ca="1">IFERROR(__xludf.DUMMYFUNCTION("GOOGLEFINANCE(""NSE:""&amp;A277,""VOLUME"")"),502887)</f>
        <v>502887</v>
      </c>
      <c r="I277" s="13" t="str">
        <f ca="1">IFERROR(__xludf.DUMMYFUNCTION("AVERAGE(index(GOOGLEFINANCE(""NSE:""&amp;$A277, ""volume"", today()-21, today()-1), , 2))"),"#N/A")</f>
        <v>#N/A</v>
      </c>
      <c r="J277" s="14" t="e">
        <f t="shared" ca="1" si="81"/>
        <v>#VALUE!</v>
      </c>
      <c r="K277" s="13" t="str">
        <f ca="1">IFERROR(__xludf.DUMMYFUNCTION("AVERAGE(index(GOOGLEFINANCE(""NSE:""&amp;$A277, ""close"", today()-6, today()-1), , 2))"),"#N/A")</f>
        <v>#N/A</v>
      </c>
      <c r="L277" s="13" t="str">
        <f ca="1">IFERROR(__xludf.DUMMYFUNCTION("AVERAGE(index(GOOGLEFINANCE(""NSE:""&amp;$A277, ""close"", today()-14, today()-1), , 2))"),"#N/A")</f>
        <v>#N/A</v>
      </c>
      <c r="M277" s="13" t="str">
        <f ca="1">IFERROR(__xludf.DUMMYFUNCTION("AVERAGE(index(GOOGLEFINANCE(""NSE:""&amp;$A277, ""close"", today()-22, today()-1), , 2))"),"#N/A")</f>
        <v>#N/A</v>
      </c>
      <c r="N277" s="13" t="str">
        <f t="shared" ca="1" si="82"/>
        <v>No_Action</v>
      </c>
      <c r="O277" s="13" t="str">
        <f t="shared" ca="1" si="83"/>
        <v>No_Action</v>
      </c>
      <c r="P277" s="13" t="str">
        <f t="shared" ca="1" si="84"/>
        <v>No_Action</v>
      </c>
      <c r="Q277" s="13" t="str">
        <f t="shared" ca="1" si="85"/>
        <v>No_Action</v>
      </c>
      <c r="R277" s="15"/>
      <c r="S277" s="15" t="str">
        <f t="shared" ca="1" si="86"/>
        <v>NoNo</v>
      </c>
      <c r="T277" s="15"/>
      <c r="U277" s="15">
        <f t="shared" ca="1" si="87"/>
        <v>0</v>
      </c>
      <c r="V277" s="15">
        <f t="shared" ca="1" si="88"/>
        <v>0</v>
      </c>
      <c r="W277" s="15" t="str">
        <f t="shared" ca="1" si="89"/>
        <v>No_Action</v>
      </c>
      <c r="X277" s="15"/>
      <c r="Y277" s="15" t="str">
        <f t="shared" ca="1" si="90"/>
        <v>No_Action</v>
      </c>
      <c r="Z277" s="15">
        <f t="shared" ca="1" si="91"/>
        <v>0</v>
      </c>
      <c r="AA277" s="15">
        <f t="shared" ca="1" si="92"/>
        <v>0</v>
      </c>
      <c r="AB277" s="15"/>
      <c r="AC277" s="15" t="str">
        <f t="shared" ca="1" si="93"/>
        <v>NoNo</v>
      </c>
      <c r="AD277" s="15"/>
      <c r="AE277" s="15">
        <f t="shared" ca="1" si="94"/>
        <v>0</v>
      </c>
      <c r="AF277" s="16">
        <f t="shared" ca="1" si="95"/>
        <v>0</v>
      </c>
      <c r="AG277" s="16" t="str">
        <f t="shared" ca="1" si="96"/>
        <v>No_Action</v>
      </c>
      <c r="AH277" s="15"/>
      <c r="AI277" s="15" t="str">
        <f t="shared" ca="1" si="97"/>
        <v>No_Action</v>
      </c>
      <c r="AJ277" s="15">
        <f t="shared" ca="1" si="98"/>
        <v>0</v>
      </c>
      <c r="AK277" s="15">
        <f t="shared" ca="1" si="99"/>
        <v>0</v>
      </c>
    </row>
    <row r="278" spans="1:37" ht="14.5" customHeight="1" x14ac:dyDescent="0.35">
      <c r="A278" s="12" t="s">
        <v>294</v>
      </c>
      <c r="B278" s="13">
        <f ca="1">IFERROR(__xludf.DUMMYFUNCTION("GOOGLEFINANCE(""NSE:""&amp;A278,""PRICE"")"),119.59)</f>
        <v>119.59</v>
      </c>
      <c r="C278" s="13">
        <f ca="1">IFERROR(__xludf.DUMMYFUNCTION("GOOGLEFINANCE(""NSE:""&amp;A278,""PRICEOPEN"")"),120.95)</f>
        <v>120.95</v>
      </c>
      <c r="D278" s="13">
        <f ca="1">IFERROR(__xludf.DUMMYFUNCTION("GOOGLEFINANCE(""NSE:""&amp;A278,""HIGH"")"),122.45)</f>
        <v>122.45</v>
      </c>
      <c r="E278" s="13">
        <f ca="1">IFERROR(__xludf.DUMMYFUNCTION("GOOGLEFINANCE(""NSE:""&amp;A278,""LOW"")"),118.71)</f>
        <v>118.71</v>
      </c>
      <c r="F278" s="13">
        <f ca="1">IFERROR(__xludf.DUMMYFUNCTION("GOOGLEFINANCE(""NSE:""&amp;A278,""closeyest"")"),121.37)</f>
        <v>121.37</v>
      </c>
      <c r="G278" s="14">
        <f t="shared" ca="1" si="80"/>
        <v>-1.1372188310059364E-2</v>
      </c>
      <c r="H278" s="13">
        <f ca="1">IFERROR(__xludf.DUMMYFUNCTION("GOOGLEFINANCE(""NSE:""&amp;A278,""VOLUME"")"),238245)</f>
        <v>238245</v>
      </c>
      <c r="I278" s="13" t="str">
        <f ca="1">IFERROR(__xludf.DUMMYFUNCTION("AVERAGE(index(GOOGLEFINANCE(""NSE:""&amp;$A278, ""volume"", today()-21, today()-1), , 2))"),"#N/A")</f>
        <v>#N/A</v>
      </c>
      <c r="J278" s="14" t="e">
        <f t="shared" ca="1" si="81"/>
        <v>#VALUE!</v>
      </c>
      <c r="K278" s="13" t="str">
        <f ca="1">IFERROR(__xludf.DUMMYFUNCTION("AVERAGE(index(GOOGLEFINANCE(""NSE:""&amp;$A278, ""close"", today()-6, today()-1), , 2))"),"#N/A")</f>
        <v>#N/A</v>
      </c>
      <c r="L278" s="13" t="str">
        <f ca="1">IFERROR(__xludf.DUMMYFUNCTION("AVERAGE(index(GOOGLEFINANCE(""NSE:""&amp;$A278, ""close"", today()-14, today()-1), , 2))"),"#N/A")</f>
        <v>#N/A</v>
      </c>
      <c r="M278" s="13" t="str">
        <f ca="1">IFERROR(__xludf.DUMMYFUNCTION("AVERAGE(index(GOOGLEFINANCE(""NSE:""&amp;$A278, ""close"", today()-22, today()-1), , 2))"),"#N/A")</f>
        <v>#N/A</v>
      </c>
      <c r="N278" s="13" t="str">
        <f t="shared" ca="1" si="82"/>
        <v>No_Action</v>
      </c>
      <c r="O278" s="13" t="str">
        <f t="shared" ca="1" si="83"/>
        <v>No_Action</v>
      </c>
      <c r="P278" s="13" t="str">
        <f t="shared" ca="1" si="84"/>
        <v>No_Action</v>
      </c>
      <c r="Q278" s="13" t="str">
        <f t="shared" ca="1" si="85"/>
        <v>No_Action</v>
      </c>
      <c r="R278" s="15"/>
      <c r="S278" s="15" t="str">
        <f t="shared" ca="1" si="86"/>
        <v>NoNo</v>
      </c>
      <c r="T278" s="15"/>
      <c r="U278" s="15">
        <f t="shared" ca="1" si="87"/>
        <v>0</v>
      </c>
      <c r="V278" s="15">
        <f t="shared" ca="1" si="88"/>
        <v>0</v>
      </c>
      <c r="W278" s="15" t="str">
        <f t="shared" ca="1" si="89"/>
        <v>No_Action</v>
      </c>
      <c r="X278" s="15"/>
      <c r="Y278" s="15" t="str">
        <f t="shared" ca="1" si="90"/>
        <v>No_Action</v>
      </c>
      <c r="Z278" s="15">
        <f t="shared" ca="1" si="91"/>
        <v>0</v>
      </c>
      <c r="AA278" s="15">
        <f t="shared" ca="1" si="92"/>
        <v>0</v>
      </c>
      <c r="AB278" s="15"/>
      <c r="AC278" s="15" t="str">
        <f t="shared" ca="1" si="93"/>
        <v>NoNo</v>
      </c>
      <c r="AD278" s="15"/>
      <c r="AE278" s="15">
        <f t="shared" ca="1" si="94"/>
        <v>0</v>
      </c>
      <c r="AF278" s="16">
        <f t="shared" ca="1" si="95"/>
        <v>0</v>
      </c>
      <c r="AG278" s="16" t="str">
        <f t="shared" ca="1" si="96"/>
        <v>No_Action</v>
      </c>
      <c r="AH278" s="15"/>
      <c r="AI278" s="15" t="str">
        <f t="shared" ca="1" si="97"/>
        <v>No_Action</v>
      </c>
      <c r="AJ278" s="15">
        <f t="shared" ca="1" si="98"/>
        <v>0</v>
      </c>
      <c r="AK278" s="15">
        <f t="shared" ca="1" si="99"/>
        <v>0</v>
      </c>
    </row>
    <row r="279" spans="1:37" ht="14.5" customHeight="1" x14ac:dyDescent="0.35">
      <c r="A279" s="12" t="s">
        <v>295</v>
      </c>
      <c r="B279" s="13">
        <f ca="1">IFERROR(__xludf.DUMMYFUNCTION("GOOGLEFINANCE(""NSE:""&amp;A279,""PRICE"")"),1198.5)</f>
        <v>1198.5</v>
      </c>
      <c r="C279" s="13">
        <f ca="1">IFERROR(__xludf.DUMMYFUNCTION("GOOGLEFINANCE(""NSE:""&amp;A279,""PRICEOPEN"")"),1186.15)</f>
        <v>1186.1500000000001</v>
      </c>
      <c r="D279" s="13">
        <f ca="1">IFERROR(__xludf.DUMMYFUNCTION("GOOGLEFINANCE(""NSE:""&amp;A279,""HIGH"")"),1221)</f>
        <v>1221</v>
      </c>
      <c r="E279" s="13">
        <f ca="1">IFERROR(__xludf.DUMMYFUNCTION("GOOGLEFINANCE(""NSE:""&amp;A279,""LOW"")"),1186.15)</f>
        <v>1186.1500000000001</v>
      </c>
      <c r="F279" s="13">
        <f ca="1">IFERROR(__xludf.DUMMYFUNCTION("GOOGLEFINANCE(""NSE:""&amp;A279,""closeyest"")"),1195.3)</f>
        <v>1195.3</v>
      </c>
      <c r="G279" s="14">
        <f t="shared" ca="1" si="80"/>
        <v>1.030454735085516E-2</v>
      </c>
      <c r="H279" s="13">
        <f ca="1">IFERROR(__xludf.DUMMYFUNCTION("GOOGLEFINANCE(""NSE:""&amp;A279,""VOLUME"")"),10849)</f>
        <v>10849</v>
      </c>
      <c r="I279" s="13" t="str">
        <f ca="1">IFERROR(__xludf.DUMMYFUNCTION("AVERAGE(index(GOOGLEFINANCE(""NSE:""&amp;$A279, ""volume"", today()-21, today()-1), , 2))"),"#N/A")</f>
        <v>#N/A</v>
      </c>
      <c r="J279" s="14" t="e">
        <f t="shared" ca="1" si="81"/>
        <v>#VALUE!</v>
      </c>
      <c r="K279" s="13" t="str">
        <f ca="1">IFERROR(__xludf.DUMMYFUNCTION("AVERAGE(index(GOOGLEFINANCE(""NSE:""&amp;$A279, ""close"", today()-6, today()-1), , 2))"),"#N/A")</f>
        <v>#N/A</v>
      </c>
      <c r="L279" s="13" t="str">
        <f ca="1">IFERROR(__xludf.DUMMYFUNCTION("AVERAGE(index(GOOGLEFINANCE(""NSE:""&amp;$A279, ""close"", today()-14, today()-1), , 2))"),"#N/A")</f>
        <v>#N/A</v>
      </c>
      <c r="M279" s="13" t="str">
        <f ca="1">IFERROR(__xludf.DUMMYFUNCTION("AVERAGE(index(GOOGLEFINANCE(""NSE:""&amp;$A279, ""close"", today()-22, today()-1), , 2))"),"#N/A")</f>
        <v>#N/A</v>
      </c>
      <c r="N279" s="13" t="str">
        <f t="shared" ca="1" si="82"/>
        <v>No_Action</v>
      </c>
      <c r="O279" s="13" t="str">
        <f t="shared" ca="1" si="83"/>
        <v>No_Action</v>
      </c>
      <c r="P279" s="13" t="str">
        <f t="shared" ca="1" si="84"/>
        <v>No_Action</v>
      </c>
      <c r="Q279" s="13" t="str">
        <f t="shared" ca="1" si="85"/>
        <v>No_Action</v>
      </c>
      <c r="R279" s="15"/>
      <c r="S279" s="15" t="str">
        <f t="shared" ca="1" si="86"/>
        <v>NoNo</v>
      </c>
      <c r="T279" s="15"/>
      <c r="U279" s="15">
        <f t="shared" ca="1" si="87"/>
        <v>0</v>
      </c>
      <c r="V279" s="15">
        <f t="shared" ca="1" si="88"/>
        <v>0</v>
      </c>
      <c r="W279" s="15" t="str">
        <f t="shared" ca="1" si="89"/>
        <v>No_Action</v>
      </c>
      <c r="X279" s="15"/>
      <c r="Y279" s="15" t="str">
        <f t="shared" ca="1" si="90"/>
        <v>No_Action</v>
      </c>
      <c r="Z279" s="15">
        <f t="shared" ca="1" si="91"/>
        <v>0</v>
      </c>
      <c r="AA279" s="15">
        <f t="shared" ca="1" si="92"/>
        <v>0</v>
      </c>
      <c r="AB279" s="15"/>
      <c r="AC279" s="15" t="str">
        <f t="shared" ca="1" si="93"/>
        <v>NoNo</v>
      </c>
      <c r="AD279" s="15"/>
      <c r="AE279" s="15">
        <f t="shared" ca="1" si="94"/>
        <v>0</v>
      </c>
      <c r="AF279" s="16">
        <f t="shared" ca="1" si="95"/>
        <v>0</v>
      </c>
      <c r="AG279" s="16" t="str">
        <f t="shared" ca="1" si="96"/>
        <v>No_Action</v>
      </c>
      <c r="AH279" s="15"/>
      <c r="AI279" s="15" t="str">
        <f t="shared" ca="1" si="97"/>
        <v>No_Action</v>
      </c>
      <c r="AJ279" s="15">
        <f t="shared" ca="1" si="98"/>
        <v>0</v>
      </c>
      <c r="AK279" s="15">
        <f t="shared" ca="1" si="99"/>
        <v>0</v>
      </c>
    </row>
    <row r="280" spans="1:37" ht="14.5" customHeight="1" x14ac:dyDescent="0.35">
      <c r="A280" s="12" t="s">
        <v>296</v>
      </c>
      <c r="B280" s="13">
        <f ca="1">IFERROR(__xludf.DUMMYFUNCTION("GOOGLEFINANCE(""NSE:""&amp;A280,""PRICE"")"),316.6)</f>
        <v>316.60000000000002</v>
      </c>
      <c r="C280" s="13">
        <f ca="1">IFERROR(__xludf.DUMMYFUNCTION("GOOGLEFINANCE(""NSE:""&amp;A280,""PRICEOPEN"")"),322.1)</f>
        <v>322.10000000000002</v>
      </c>
      <c r="D280" s="13">
        <f ca="1">IFERROR(__xludf.DUMMYFUNCTION("GOOGLEFINANCE(""NSE:""&amp;A280,""HIGH"")"),323.15)</f>
        <v>323.14999999999998</v>
      </c>
      <c r="E280" s="13">
        <f ca="1">IFERROR(__xludf.DUMMYFUNCTION("GOOGLEFINANCE(""NSE:""&amp;A280,""LOW"")"),316.6)</f>
        <v>316.60000000000002</v>
      </c>
      <c r="F280" s="13">
        <f ca="1">IFERROR(__xludf.DUMMYFUNCTION("GOOGLEFINANCE(""NSE:""&amp;A280,""closeyest"")"),320.2)</f>
        <v>320.2</v>
      </c>
      <c r="G280" s="14">
        <f t="shared" ca="1" si="80"/>
        <v>-1.737207833228048E-2</v>
      </c>
      <c r="H280" s="13">
        <f ca="1">IFERROR(__xludf.DUMMYFUNCTION("GOOGLEFINANCE(""NSE:""&amp;A280,""VOLUME"")"),10307)</f>
        <v>10307</v>
      </c>
      <c r="I280" s="13" t="str">
        <f ca="1">IFERROR(__xludf.DUMMYFUNCTION("AVERAGE(index(GOOGLEFINANCE(""NSE:""&amp;$A280, ""volume"", today()-21, today()-1), , 2))"),"#N/A")</f>
        <v>#N/A</v>
      </c>
      <c r="J280" s="14" t="e">
        <f t="shared" ca="1" si="81"/>
        <v>#VALUE!</v>
      </c>
      <c r="K280" s="13" t="str">
        <f ca="1">IFERROR(__xludf.DUMMYFUNCTION("AVERAGE(index(GOOGLEFINANCE(""NSE:""&amp;$A280, ""close"", today()-6, today()-1), , 2))"),"#N/A")</f>
        <v>#N/A</v>
      </c>
      <c r="L280" s="13" t="str">
        <f ca="1">IFERROR(__xludf.DUMMYFUNCTION("AVERAGE(index(GOOGLEFINANCE(""NSE:""&amp;$A280, ""close"", today()-14, today()-1), , 2))"),"#N/A")</f>
        <v>#N/A</v>
      </c>
      <c r="M280" s="13" t="str">
        <f ca="1">IFERROR(__xludf.DUMMYFUNCTION("AVERAGE(index(GOOGLEFINANCE(""NSE:""&amp;$A280, ""close"", today()-22, today()-1), , 2))"),"#N/A")</f>
        <v>#N/A</v>
      </c>
      <c r="N280" s="13" t="str">
        <f t="shared" ca="1" si="82"/>
        <v>No_Action</v>
      </c>
      <c r="O280" s="13" t="str">
        <f t="shared" ca="1" si="83"/>
        <v>No_Action</v>
      </c>
      <c r="P280" s="13" t="str">
        <f t="shared" ca="1" si="84"/>
        <v>No_Action</v>
      </c>
      <c r="Q280" s="13" t="str">
        <f t="shared" ca="1" si="85"/>
        <v>No_Action</v>
      </c>
      <c r="R280" s="15"/>
      <c r="S280" s="15" t="str">
        <f t="shared" ca="1" si="86"/>
        <v>NoNo</v>
      </c>
      <c r="T280" s="15"/>
      <c r="U280" s="15">
        <f t="shared" ca="1" si="87"/>
        <v>0</v>
      </c>
      <c r="V280" s="15">
        <f t="shared" ca="1" si="88"/>
        <v>0</v>
      </c>
      <c r="W280" s="15" t="str">
        <f t="shared" ca="1" si="89"/>
        <v>No_Action</v>
      </c>
      <c r="X280" s="15"/>
      <c r="Y280" s="15" t="str">
        <f t="shared" ca="1" si="90"/>
        <v>No_Action</v>
      </c>
      <c r="Z280" s="15">
        <f t="shared" ca="1" si="91"/>
        <v>0</v>
      </c>
      <c r="AA280" s="15">
        <f t="shared" ca="1" si="92"/>
        <v>0</v>
      </c>
      <c r="AB280" s="15"/>
      <c r="AC280" s="15" t="str">
        <f t="shared" ca="1" si="93"/>
        <v>NoNo</v>
      </c>
      <c r="AD280" s="15"/>
      <c r="AE280" s="15">
        <f t="shared" ca="1" si="94"/>
        <v>0</v>
      </c>
      <c r="AF280" s="16">
        <f t="shared" ca="1" si="95"/>
        <v>0</v>
      </c>
      <c r="AG280" s="16" t="str">
        <f t="shared" ca="1" si="96"/>
        <v>No_Action</v>
      </c>
      <c r="AH280" s="15"/>
      <c r="AI280" s="15" t="str">
        <f t="shared" ca="1" si="97"/>
        <v>No_Action</v>
      </c>
      <c r="AJ280" s="15">
        <f t="shared" ca="1" si="98"/>
        <v>0</v>
      </c>
      <c r="AK280" s="15">
        <f t="shared" ca="1" si="99"/>
        <v>0</v>
      </c>
    </row>
    <row r="281" spans="1:37" ht="14.5" customHeight="1" x14ac:dyDescent="0.35">
      <c r="A281" s="12" t="s">
        <v>297</v>
      </c>
      <c r="B281" s="13">
        <f ca="1">IFERROR(__xludf.DUMMYFUNCTION("GOOGLEFINANCE(""NSE:""&amp;A281,""PRICE"")"),90.73)</f>
        <v>90.73</v>
      </c>
      <c r="C281" s="13">
        <f ca="1">IFERROR(__xludf.DUMMYFUNCTION("GOOGLEFINANCE(""NSE:""&amp;A281,""PRICEOPEN"")"),91)</f>
        <v>91</v>
      </c>
      <c r="D281" s="13">
        <f ca="1">IFERROR(__xludf.DUMMYFUNCTION("GOOGLEFINANCE(""NSE:""&amp;A281,""HIGH"")"),91.99)</f>
        <v>91.99</v>
      </c>
      <c r="E281" s="13">
        <f ca="1">IFERROR(__xludf.DUMMYFUNCTION("GOOGLEFINANCE(""NSE:""&amp;A281,""LOW"")"),90.07)</f>
        <v>90.07</v>
      </c>
      <c r="F281" s="13">
        <f ca="1">IFERROR(__xludf.DUMMYFUNCTION("GOOGLEFINANCE(""NSE:""&amp;A281,""closeyest"")"),91.63)</f>
        <v>91.63</v>
      </c>
      <c r="G281" s="14">
        <f t="shared" ca="1" si="80"/>
        <v>-2.9758624490245343E-3</v>
      </c>
      <c r="H281" s="13">
        <f ca="1">IFERROR(__xludf.DUMMYFUNCTION("GOOGLEFINANCE(""NSE:""&amp;A281,""VOLUME"")"),250262)</f>
        <v>250262</v>
      </c>
      <c r="I281" s="13" t="str">
        <f ca="1">IFERROR(__xludf.DUMMYFUNCTION("AVERAGE(index(GOOGLEFINANCE(""NSE:""&amp;$A281, ""volume"", today()-21, today()-1), , 2))"),"#N/A")</f>
        <v>#N/A</v>
      </c>
      <c r="J281" s="14" t="e">
        <f t="shared" ca="1" si="81"/>
        <v>#VALUE!</v>
      </c>
      <c r="K281" s="13" t="str">
        <f ca="1">IFERROR(__xludf.DUMMYFUNCTION("AVERAGE(index(GOOGLEFINANCE(""NSE:""&amp;$A281, ""close"", today()-6, today()-1), , 2))"),"#N/A")</f>
        <v>#N/A</v>
      </c>
      <c r="L281" s="13" t="str">
        <f ca="1">IFERROR(__xludf.DUMMYFUNCTION("AVERAGE(index(GOOGLEFINANCE(""NSE:""&amp;$A281, ""close"", today()-14, today()-1), , 2))"),"#N/A")</f>
        <v>#N/A</v>
      </c>
      <c r="M281" s="13" t="str">
        <f ca="1">IFERROR(__xludf.DUMMYFUNCTION("AVERAGE(index(GOOGLEFINANCE(""NSE:""&amp;$A281, ""close"", today()-22, today()-1), , 2))"),"#N/A")</f>
        <v>#N/A</v>
      </c>
      <c r="N281" s="13" t="str">
        <f t="shared" ca="1" si="82"/>
        <v>No_Action</v>
      </c>
      <c r="O281" s="13" t="str">
        <f t="shared" ca="1" si="83"/>
        <v>No_Action</v>
      </c>
      <c r="P281" s="13" t="str">
        <f t="shared" ca="1" si="84"/>
        <v>No_Action</v>
      </c>
      <c r="Q281" s="13" t="str">
        <f t="shared" ca="1" si="85"/>
        <v>No_Action</v>
      </c>
      <c r="R281" s="15"/>
      <c r="S281" s="15" t="str">
        <f t="shared" ca="1" si="86"/>
        <v>NoNo</v>
      </c>
      <c r="T281" s="15"/>
      <c r="U281" s="15">
        <f t="shared" ca="1" si="87"/>
        <v>0</v>
      </c>
      <c r="V281" s="15">
        <f t="shared" ca="1" si="88"/>
        <v>0</v>
      </c>
      <c r="W281" s="15" t="str">
        <f t="shared" ca="1" si="89"/>
        <v>No_Action</v>
      </c>
      <c r="X281" s="15"/>
      <c r="Y281" s="15" t="str">
        <f t="shared" ca="1" si="90"/>
        <v>No_Action</v>
      </c>
      <c r="Z281" s="15">
        <f t="shared" ca="1" si="91"/>
        <v>0</v>
      </c>
      <c r="AA281" s="15">
        <f t="shared" ca="1" si="92"/>
        <v>0</v>
      </c>
      <c r="AB281" s="15"/>
      <c r="AC281" s="15" t="str">
        <f t="shared" ca="1" si="93"/>
        <v>NoNo</v>
      </c>
      <c r="AD281" s="15"/>
      <c r="AE281" s="15">
        <f t="shared" ca="1" si="94"/>
        <v>0</v>
      </c>
      <c r="AF281" s="16">
        <f t="shared" ca="1" si="95"/>
        <v>0</v>
      </c>
      <c r="AG281" s="16" t="str">
        <f t="shared" ca="1" si="96"/>
        <v>No_Action</v>
      </c>
      <c r="AH281" s="15"/>
      <c r="AI281" s="15" t="str">
        <f t="shared" ca="1" si="97"/>
        <v>No_Action</v>
      </c>
      <c r="AJ281" s="15">
        <f t="shared" ca="1" si="98"/>
        <v>0</v>
      </c>
      <c r="AK281" s="15">
        <f t="shared" ca="1" si="99"/>
        <v>0</v>
      </c>
    </row>
    <row r="282" spans="1:37" ht="14.5" customHeight="1" x14ac:dyDescent="0.35">
      <c r="A282" s="12" t="s">
        <v>298</v>
      </c>
      <c r="B282" s="13">
        <f ca="1">IFERROR(__xludf.DUMMYFUNCTION("GOOGLEFINANCE(""NSE:""&amp;A282,""PRICE"")"),583.9)</f>
        <v>583.9</v>
      </c>
      <c r="C282" s="13">
        <f ca="1">IFERROR(__xludf.DUMMYFUNCTION("GOOGLEFINANCE(""NSE:""&amp;A282,""PRICEOPEN"")"),590)</f>
        <v>590</v>
      </c>
      <c r="D282" s="13">
        <f ca="1">IFERROR(__xludf.DUMMYFUNCTION("GOOGLEFINANCE(""NSE:""&amp;A282,""HIGH"")"),598.95)</f>
        <v>598.95000000000005</v>
      </c>
      <c r="E282" s="13">
        <f ca="1">IFERROR(__xludf.DUMMYFUNCTION("GOOGLEFINANCE(""NSE:""&amp;A282,""LOW"")"),578)</f>
        <v>578</v>
      </c>
      <c r="F282" s="13">
        <f ca="1">IFERROR(__xludf.DUMMYFUNCTION("GOOGLEFINANCE(""NSE:""&amp;A282,""closeyest"")"),589.1)</f>
        <v>589.1</v>
      </c>
      <c r="G282" s="14">
        <f t="shared" ca="1" si="80"/>
        <v>-1.0446994348347359E-2</v>
      </c>
      <c r="H282" s="13">
        <f ca="1">IFERROR(__xludf.DUMMYFUNCTION("GOOGLEFINANCE(""NSE:""&amp;A282,""VOLUME"")"),67950)</f>
        <v>67950</v>
      </c>
      <c r="I282" s="13" t="str">
        <f ca="1">IFERROR(__xludf.DUMMYFUNCTION("AVERAGE(index(GOOGLEFINANCE(""NSE:""&amp;$A282, ""volume"", today()-21, today()-1), , 2))"),"#N/A")</f>
        <v>#N/A</v>
      </c>
      <c r="J282" s="14" t="e">
        <f t="shared" ca="1" si="81"/>
        <v>#VALUE!</v>
      </c>
      <c r="K282" s="13" t="str">
        <f ca="1">IFERROR(__xludf.DUMMYFUNCTION("AVERAGE(index(GOOGLEFINANCE(""NSE:""&amp;$A282, ""close"", today()-6, today()-1), , 2))"),"#N/A")</f>
        <v>#N/A</v>
      </c>
      <c r="L282" s="13" t="str">
        <f ca="1">IFERROR(__xludf.DUMMYFUNCTION("AVERAGE(index(GOOGLEFINANCE(""NSE:""&amp;$A282, ""close"", today()-14, today()-1), , 2))"),"#N/A")</f>
        <v>#N/A</v>
      </c>
      <c r="M282" s="13" t="str">
        <f ca="1">IFERROR(__xludf.DUMMYFUNCTION("AVERAGE(index(GOOGLEFINANCE(""NSE:""&amp;$A282, ""close"", today()-22, today()-1), , 2))"),"#N/A")</f>
        <v>#N/A</v>
      </c>
      <c r="N282" s="13" t="str">
        <f t="shared" ca="1" si="82"/>
        <v>No_Action</v>
      </c>
      <c r="O282" s="13" t="str">
        <f t="shared" ca="1" si="83"/>
        <v>No_Action</v>
      </c>
      <c r="P282" s="13" t="str">
        <f t="shared" ca="1" si="84"/>
        <v>No_Action</v>
      </c>
      <c r="Q282" s="13" t="str">
        <f t="shared" ca="1" si="85"/>
        <v>No_Action</v>
      </c>
      <c r="R282" s="15"/>
      <c r="S282" s="15" t="str">
        <f t="shared" ca="1" si="86"/>
        <v>NoNo</v>
      </c>
      <c r="T282" s="15"/>
      <c r="U282" s="15">
        <f t="shared" ca="1" si="87"/>
        <v>0</v>
      </c>
      <c r="V282" s="15">
        <f t="shared" ca="1" si="88"/>
        <v>0</v>
      </c>
      <c r="W282" s="15" t="str">
        <f t="shared" ca="1" si="89"/>
        <v>No_Action</v>
      </c>
      <c r="X282" s="15"/>
      <c r="Y282" s="15" t="str">
        <f t="shared" ca="1" si="90"/>
        <v>No_Action</v>
      </c>
      <c r="Z282" s="15">
        <f t="shared" ca="1" si="91"/>
        <v>0</v>
      </c>
      <c r="AA282" s="15">
        <f t="shared" ca="1" si="92"/>
        <v>0</v>
      </c>
      <c r="AB282" s="15"/>
      <c r="AC282" s="15" t="str">
        <f t="shared" ca="1" si="93"/>
        <v>NoNo</v>
      </c>
      <c r="AD282" s="15"/>
      <c r="AE282" s="15">
        <f t="shared" ca="1" si="94"/>
        <v>0</v>
      </c>
      <c r="AF282" s="16">
        <f t="shared" ca="1" si="95"/>
        <v>0</v>
      </c>
      <c r="AG282" s="16" t="str">
        <f t="shared" ca="1" si="96"/>
        <v>No_Action</v>
      </c>
      <c r="AH282" s="15"/>
      <c r="AI282" s="15" t="str">
        <f t="shared" ca="1" si="97"/>
        <v>No_Action</v>
      </c>
      <c r="AJ282" s="15">
        <f t="shared" ca="1" si="98"/>
        <v>0</v>
      </c>
      <c r="AK282" s="15">
        <f t="shared" ca="1" si="99"/>
        <v>0</v>
      </c>
    </row>
    <row r="283" spans="1:37" ht="14.5" customHeight="1" x14ac:dyDescent="0.35">
      <c r="A283" s="12" t="s">
        <v>299</v>
      </c>
      <c r="B283" s="13">
        <f ca="1">IFERROR(__xludf.DUMMYFUNCTION("GOOGLEFINANCE(""NSE:""&amp;A283,""PRICE"")"),26748)</f>
        <v>26748</v>
      </c>
      <c r="C283" s="13">
        <f ca="1">IFERROR(__xludf.DUMMYFUNCTION("GOOGLEFINANCE(""NSE:""&amp;A283,""PRICEOPEN"")"),27076)</f>
        <v>27076</v>
      </c>
      <c r="D283" s="13">
        <f ca="1">IFERROR(__xludf.DUMMYFUNCTION("GOOGLEFINANCE(""NSE:""&amp;A283,""HIGH"")"),27097)</f>
        <v>27097</v>
      </c>
      <c r="E283" s="13">
        <f ca="1">IFERROR(__xludf.DUMMYFUNCTION("GOOGLEFINANCE(""NSE:""&amp;A283,""LOW"")"),26453.05)</f>
        <v>26453.05</v>
      </c>
      <c r="F283" s="13">
        <f ca="1">IFERROR(__xludf.DUMMYFUNCTION("GOOGLEFINANCE(""NSE:""&amp;A283,""closeyest"")"),27076.65)</f>
        <v>27076.65</v>
      </c>
      <c r="G283" s="14">
        <f t="shared" ca="1" si="80"/>
        <v>-1.2262599072827875E-2</v>
      </c>
      <c r="H283" s="13">
        <f ca="1">IFERROR(__xludf.DUMMYFUNCTION("GOOGLEFINANCE(""NSE:""&amp;A283,""VOLUME"")"),24896)</f>
        <v>24896</v>
      </c>
      <c r="I283" s="13" t="str">
        <f ca="1">IFERROR(__xludf.DUMMYFUNCTION("AVERAGE(index(GOOGLEFINANCE(""NSE:""&amp;$A283, ""volume"", today()-21, today()-1), , 2))"),"#N/A")</f>
        <v>#N/A</v>
      </c>
      <c r="J283" s="14" t="e">
        <f t="shared" ca="1" si="81"/>
        <v>#VALUE!</v>
      </c>
      <c r="K283" s="13" t="str">
        <f ca="1">IFERROR(__xludf.DUMMYFUNCTION("AVERAGE(index(GOOGLEFINANCE(""NSE:""&amp;$A283, ""close"", today()-6, today()-1), , 2))"),"#N/A")</f>
        <v>#N/A</v>
      </c>
      <c r="L283" s="13" t="str">
        <f ca="1">IFERROR(__xludf.DUMMYFUNCTION("AVERAGE(index(GOOGLEFINANCE(""NSE:""&amp;$A283, ""close"", today()-14, today()-1), , 2))"),"#N/A")</f>
        <v>#N/A</v>
      </c>
      <c r="M283" s="13" t="str">
        <f ca="1">IFERROR(__xludf.DUMMYFUNCTION("AVERAGE(index(GOOGLEFINANCE(""NSE:""&amp;$A283, ""close"", today()-22, today()-1), , 2))"),"#N/A")</f>
        <v>#N/A</v>
      </c>
      <c r="N283" s="13" t="str">
        <f t="shared" ca="1" si="82"/>
        <v>No_Action</v>
      </c>
      <c r="O283" s="13" t="str">
        <f t="shared" ca="1" si="83"/>
        <v>No_Action</v>
      </c>
      <c r="P283" s="13" t="str">
        <f t="shared" ca="1" si="84"/>
        <v>No_Action</v>
      </c>
      <c r="Q283" s="13" t="str">
        <f t="shared" ca="1" si="85"/>
        <v>No_Action</v>
      </c>
      <c r="R283" s="15"/>
      <c r="S283" s="15" t="str">
        <f t="shared" ca="1" si="86"/>
        <v>NoNo</v>
      </c>
      <c r="T283" s="15"/>
      <c r="U283" s="15">
        <f t="shared" ca="1" si="87"/>
        <v>0</v>
      </c>
      <c r="V283" s="15">
        <f t="shared" ca="1" si="88"/>
        <v>0</v>
      </c>
      <c r="W283" s="15" t="str">
        <f t="shared" ca="1" si="89"/>
        <v>No_Action</v>
      </c>
      <c r="X283" s="15"/>
      <c r="Y283" s="15" t="str">
        <f t="shared" ca="1" si="90"/>
        <v>No_Action</v>
      </c>
      <c r="Z283" s="15">
        <f t="shared" ca="1" si="91"/>
        <v>0</v>
      </c>
      <c r="AA283" s="15">
        <f t="shared" ca="1" si="92"/>
        <v>0</v>
      </c>
      <c r="AB283" s="15"/>
      <c r="AC283" s="15" t="str">
        <f t="shared" ca="1" si="93"/>
        <v>NoNo</v>
      </c>
      <c r="AD283" s="15"/>
      <c r="AE283" s="15">
        <f t="shared" ca="1" si="94"/>
        <v>0</v>
      </c>
      <c r="AF283" s="16">
        <f t="shared" ca="1" si="95"/>
        <v>0</v>
      </c>
      <c r="AG283" s="16" t="str">
        <f t="shared" ca="1" si="96"/>
        <v>No_Action</v>
      </c>
      <c r="AH283" s="15"/>
      <c r="AI283" s="15" t="str">
        <f t="shared" ca="1" si="97"/>
        <v>No_Action</v>
      </c>
      <c r="AJ283" s="15">
        <f t="shared" ca="1" si="98"/>
        <v>0</v>
      </c>
      <c r="AK283" s="15">
        <f t="shared" ca="1" si="99"/>
        <v>0</v>
      </c>
    </row>
    <row r="284" spans="1:37" ht="14.5" customHeight="1" x14ac:dyDescent="0.35">
      <c r="A284" s="12" t="s">
        <v>300</v>
      </c>
      <c r="B284" s="13">
        <f ca="1">IFERROR(__xludf.DUMMYFUNCTION("GOOGLEFINANCE(""NSE:""&amp;A284,""PRICE"")"),3105)</f>
        <v>3105</v>
      </c>
      <c r="C284" s="13">
        <f ca="1">IFERROR(__xludf.DUMMYFUNCTION("GOOGLEFINANCE(""NSE:""&amp;A284,""PRICEOPEN"")"),3100.6)</f>
        <v>3100.6</v>
      </c>
      <c r="D284" s="13">
        <f ca="1">IFERROR(__xludf.DUMMYFUNCTION("GOOGLEFINANCE(""NSE:""&amp;A284,""HIGH"")"),3163.35)</f>
        <v>3163.35</v>
      </c>
      <c r="E284" s="13">
        <f ca="1">IFERROR(__xludf.DUMMYFUNCTION("GOOGLEFINANCE(""NSE:""&amp;A284,""LOW"")"),3095.5)</f>
        <v>3095.5</v>
      </c>
      <c r="F284" s="13">
        <f ca="1">IFERROR(__xludf.DUMMYFUNCTION("GOOGLEFINANCE(""NSE:""&amp;A284,""closeyest"")"),3126.35)</f>
        <v>3126.35</v>
      </c>
      <c r="G284" s="14">
        <f t="shared" ca="1" si="80"/>
        <v>1.4170692431562291E-3</v>
      </c>
      <c r="H284" s="13">
        <f ca="1">IFERROR(__xludf.DUMMYFUNCTION("GOOGLEFINANCE(""NSE:""&amp;A284,""VOLUME"")"),792799)</f>
        <v>792799</v>
      </c>
      <c r="I284" s="13" t="str">
        <f ca="1">IFERROR(__xludf.DUMMYFUNCTION("AVERAGE(index(GOOGLEFINANCE(""NSE:""&amp;$A284, ""volume"", today()-21, today()-1), , 2))"),"#N/A")</f>
        <v>#N/A</v>
      </c>
      <c r="J284" s="14" t="e">
        <f t="shared" ca="1" si="81"/>
        <v>#VALUE!</v>
      </c>
      <c r="K284" s="13" t="str">
        <f ca="1">IFERROR(__xludf.DUMMYFUNCTION("AVERAGE(index(GOOGLEFINANCE(""NSE:""&amp;$A284, ""close"", today()-6, today()-1), , 2))"),"#N/A")</f>
        <v>#N/A</v>
      </c>
      <c r="L284" s="13" t="str">
        <f ca="1">IFERROR(__xludf.DUMMYFUNCTION("AVERAGE(index(GOOGLEFINANCE(""NSE:""&amp;$A284, ""close"", today()-14, today()-1), , 2))"),"#N/A")</f>
        <v>#N/A</v>
      </c>
      <c r="M284" s="13" t="str">
        <f ca="1">IFERROR(__xludf.DUMMYFUNCTION("AVERAGE(index(GOOGLEFINANCE(""NSE:""&amp;$A284, ""close"", today()-22, today()-1), , 2))"),"#N/A")</f>
        <v>#N/A</v>
      </c>
      <c r="N284" s="13" t="str">
        <f t="shared" ca="1" si="82"/>
        <v>No_Action</v>
      </c>
      <c r="O284" s="13" t="str">
        <f t="shared" ca="1" si="83"/>
        <v>No_Action</v>
      </c>
      <c r="P284" s="13" t="str">
        <f t="shared" ca="1" si="84"/>
        <v>No_Action</v>
      </c>
      <c r="Q284" s="13" t="str">
        <f t="shared" ca="1" si="85"/>
        <v>No_Action</v>
      </c>
      <c r="R284" s="15"/>
      <c r="S284" s="15" t="str">
        <f t="shared" ca="1" si="86"/>
        <v>NoNo</v>
      </c>
      <c r="T284" s="15"/>
      <c r="U284" s="15">
        <f t="shared" ca="1" si="87"/>
        <v>0</v>
      </c>
      <c r="V284" s="15">
        <f t="shared" ca="1" si="88"/>
        <v>0</v>
      </c>
      <c r="W284" s="15" t="str">
        <f t="shared" ca="1" si="89"/>
        <v>No_Action</v>
      </c>
      <c r="X284" s="15"/>
      <c r="Y284" s="15" t="str">
        <f t="shared" ca="1" si="90"/>
        <v>No_Action</v>
      </c>
      <c r="Z284" s="15">
        <f t="shared" ca="1" si="91"/>
        <v>0</v>
      </c>
      <c r="AA284" s="15">
        <f t="shared" ca="1" si="92"/>
        <v>0</v>
      </c>
      <c r="AB284" s="15"/>
      <c r="AC284" s="15" t="str">
        <f t="shared" ca="1" si="93"/>
        <v>NoNo</v>
      </c>
      <c r="AD284" s="15"/>
      <c r="AE284" s="15">
        <f t="shared" ca="1" si="94"/>
        <v>0</v>
      </c>
      <c r="AF284" s="16">
        <f t="shared" ca="1" si="95"/>
        <v>0</v>
      </c>
      <c r="AG284" s="16" t="str">
        <f t="shared" ca="1" si="96"/>
        <v>No_Action</v>
      </c>
      <c r="AH284" s="15"/>
      <c r="AI284" s="15" t="str">
        <f t="shared" ca="1" si="97"/>
        <v>No_Action</v>
      </c>
      <c r="AJ284" s="15">
        <f t="shared" ca="1" si="98"/>
        <v>0</v>
      </c>
      <c r="AK284" s="15">
        <f t="shared" ca="1" si="99"/>
        <v>0</v>
      </c>
    </row>
    <row r="285" spans="1:37" ht="14.5" customHeight="1" x14ac:dyDescent="0.35">
      <c r="A285" s="12" t="s">
        <v>301</v>
      </c>
      <c r="B285" s="13">
        <f ca="1">IFERROR(__xludf.DUMMYFUNCTION("GOOGLEFINANCE(""NSE:""&amp;A285,""PRICE"")"),848.35)</f>
        <v>848.35</v>
      </c>
      <c r="C285" s="13">
        <f ca="1">IFERROR(__xludf.DUMMYFUNCTION("GOOGLEFINANCE(""NSE:""&amp;A285,""PRICEOPEN"")"),852.8)</f>
        <v>852.8</v>
      </c>
      <c r="D285" s="13">
        <f ca="1">IFERROR(__xludf.DUMMYFUNCTION("GOOGLEFINANCE(""NSE:""&amp;A285,""HIGH"")"),854.45)</f>
        <v>854.45</v>
      </c>
      <c r="E285" s="13">
        <f ca="1">IFERROR(__xludf.DUMMYFUNCTION("GOOGLEFINANCE(""NSE:""&amp;A285,""LOW"")"),835.5)</f>
        <v>835.5</v>
      </c>
      <c r="F285" s="13">
        <f ca="1">IFERROR(__xludf.DUMMYFUNCTION("GOOGLEFINANCE(""NSE:""&amp;A285,""closeyest"")"),852.8)</f>
        <v>852.8</v>
      </c>
      <c r="G285" s="14">
        <f t="shared" ca="1" si="80"/>
        <v>-5.2454765132314866E-3</v>
      </c>
      <c r="H285" s="13">
        <f ca="1">IFERROR(__xludf.DUMMYFUNCTION("GOOGLEFINANCE(""NSE:""&amp;A285,""VOLUME"")"),204127)</f>
        <v>204127</v>
      </c>
      <c r="I285" s="13" t="str">
        <f ca="1">IFERROR(__xludf.DUMMYFUNCTION("AVERAGE(index(GOOGLEFINANCE(""NSE:""&amp;$A285, ""volume"", today()-21, today()-1), , 2))"),"#N/A")</f>
        <v>#N/A</v>
      </c>
      <c r="J285" s="14" t="e">
        <f t="shared" ca="1" si="81"/>
        <v>#VALUE!</v>
      </c>
      <c r="K285" s="13" t="str">
        <f ca="1">IFERROR(__xludf.DUMMYFUNCTION("AVERAGE(index(GOOGLEFINANCE(""NSE:""&amp;$A285, ""close"", today()-6, today()-1), , 2))"),"#N/A")</f>
        <v>#N/A</v>
      </c>
      <c r="L285" s="13" t="str">
        <f ca="1">IFERROR(__xludf.DUMMYFUNCTION("AVERAGE(index(GOOGLEFINANCE(""NSE:""&amp;$A285, ""close"", today()-14, today()-1), , 2))"),"#N/A")</f>
        <v>#N/A</v>
      </c>
      <c r="M285" s="13" t="str">
        <f ca="1">IFERROR(__xludf.DUMMYFUNCTION("AVERAGE(index(GOOGLEFINANCE(""NSE:""&amp;$A285, ""close"", today()-22, today()-1), , 2))"),"#N/A")</f>
        <v>#N/A</v>
      </c>
      <c r="N285" s="13" t="str">
        <f t="shared" ca="1" si="82"/>
        <v>No_Action</v>
      </c>
      <c r="O285" s="13" t="str">
        <f t="shared" ca="1" si="83"/>
        <v>No_Action</v>
      </c>
      <c r="P285" s="13" t="str">
        <f t="shared" ca="1" si="84"/>
        <v>No_Action</v>
      </c>
      <c r="Q285" s="13" t="str">
        <f t="shared" ca="1" si="85"/>
        <v>No_Action</v>
      </c>
      <c r="R285" s="15"/>
      <c r="S285" s="15" t="str">
        <f t="shared" ca="1" si="86"/>
        <v>NoNo</v>
      </c>
      <c r="T285" s="15"/>
      <c r="U285" s="15">
        <f t="shared" ca="1" si="87"/>
        <v>0</v>
      </c>
      <c r="V285" s="15">
        <f t="shared" ca="1" si="88"/>
        <v>0</v>
      </c>
      <c r="W285" s="15" t="str">
        <f t="shared" ca="1" si="89"/>
        <v>No_Action</v>
      </c>
      <c r="X285" s="15"/>
      <c r="Y285" s="15" t="str">
        <f t="shared" ca="1" si="90"/>
        <v>No_Action</v>
      </c>
      <c r="Z285" s="15">
        <f t="shared" ca="1" si="91"/>
        <v>0</v>
      </c>
      <c r="AA285" s="15">
        <f t="shared" ca="1" si="92"/>
        <v>0</v>
      </c>
      <c r="AB285" s="15"/>
      <c r="AC285" s="15" t="str">
        <f t="shared" ca="1" si="93"/>
        <v>NoNo</v>
      </c>
      <c r="AD285" s="15"/>
      <c r="AE285" s="15">
        <f t="shared" ca="1" si="94"/>
        <v>0</v>
      </c>
      <c r="AF285" s="16">
        <f t="shared" ca="1" si="95"/>
        <v>0</v>
      </c>
      <c r="AG285" s="16" t="str">
        <f t="shared" ca="1" si="96"/>
        <v>No_Action</v>
      </c>
      <c r="AH285" s="15"/>
      <c r="AI285" s="15" t="str">
        <f t="shared" ca="1" si="97"/>
        <v>No_Action</v>
      </c>
      <c r="AJ285" s="15">
        <f t="shared" ca="1" si="98"/>
        <v>0</v>
      </c>
      <c r="AK285" s="15">
        <f t="shared" ca="1" si="99"/>
        <v>0</v>
      </c>
    </row>
    <row r="286" spans="1:37" ht="14.5" customHeight="1" x14ac:dyDescent="0.35">
      <c r="A286" s="12" t="s">
        <v>302</v>
      </c>
      <c r="B286" s="13">
        <f ca="1">IFERROR(__xludf.DUMMYFUNCTION("GOOGLEFINANCE(""NSE:""&amp;A286,""PRICE"")"),54.04)</f>
        <v>54.04</v>
      </c>
      <c r="C286" s="13">
        <f ca="1">IFERROR(__xludf.DUMMYFUNCTION("GOOGLEFINANCE(""NSE:""&amp;A286,""PRICEOPEN"")"),53.92)</f>
        <v>53.92</v>
      </c>
      <c r="D286" s="13">
        <f ca="1">IFERROR(__xludf.DUMMYFUNCTION("GOOGLEFINANCE(""NSE:""&amp;A286,""HIGH"")"),55.4)</f>
        <v>55.4</v>
      </c>
      <c r="E286" s="13">
        <f ca="1">IFERROR(__xludf.DUMMYFUNCTION("GOOGLEFINANCE(""NSE:""&amp;A286,""LOW"")"),53.5)</f>
        <v>53.5</v>
      </c>
      <c r="F286" s="13">
        <f ca="1">IFERROR(__xludf.DUMMYFUNCTION("GOOGLEFINANCE(""NSE:""&amp;A286,""closeyest"")"),53.71)</f>
        <v>53.71</v>
      </c>
      <c r="G286" s="14">
        <f t="shared" ca="1" si="80"/>
        <v>2.2205773501109815E-3</v>
      </c>
      <c r="H286" s="13">
        <f ca="1">IFERROR(__xludf.DUMMYFUNCTION("GOOGLEFINANCE(""NSE:""&amp;A286,""VOLUME"")"),1309047)</f>
        <v>1309047</v>
      </c>
      <c r="I286" s="13" t="str">
        <f ca="1">IFERROR(__xludf.DUMMYFUNCTION("AVERAGE(index(GOOGLEFINANCE(""NSE:""&amp;$A286, ""volume"", today()-21, today()-1), , 2))"),"#N/A")</f>
        <v>#N/A</v>
      </c>
      <c r="J286" s="14" t="e">
        <f t="shared" ca="1" si="81"/>
        <v>#VALUE!</v>
      </c>
      <c r="K286" s="13" t="str">
        <f ca="1">IFERROR(__xludf.DUMMYFUNCTION("AVERAGE(index(GOOGLEFINANCE(""NSE:""&amp;$A286, ""close"", today()-6, today()-1), , 2))"),"#N/A")</f>
        <v>#N/A</v>
      </c>
      <c r="L286" s="13" t="str">
        <f ca="1">IFERROR(__xludf.DUMMYFUNCTION("AVERAGE(index(GOOGLEFINANCE(""NSE:""&amp;$A286, ""close"", today()-14, today()-1), , 2))"),"#N/A")</f>
        <v>#N/A</v>
      </c>
      <c r="M286" s="13" t="str">
        <f ca="1">IFERROR(__xludf.DUMMYFUNCTION("AVERAGE(index(GOOGLEFINANCE(""NSE:""&amp;$A286, ""close"", today()-22, today()-1), , 2))"),"#N/A")</f>
        <v>#N/A</v>
      </c>
      <c r="N286" s="13" t="str">
        <f t="shared" ca="1" si="82"/>
        <v>No_Action</v>
      </c>
      <c r="O286" s="13" t="str">
        <f t="shared" ca="1" si="83"/>
        <v>No_Action</v>
      </c>
      <c r="P286" s="13" t="str">
        <f t="shared" ca="1" si="84"/>
        <v>No_Action</v>
      </c>
      <c r="Q286" s="13" t="str">
        <f t="shared" ca="1" si="85"/>
        <v>No_Action</v>
      </c>
      <c r="R286" s="15"/>
      <c r="S286" s="15" t="str">
        <f t="shared" ca="1" si="86"/>
        <v>NoNo</v>
      </c>
      <c r="T286" s="15"/>
      <c r="U286" s="15">
        <f t="shared" ca="1" si="87"/>
        <v>0</v>
      </c>
      <c r="V286" s="15">
        <f t="shared" ca="1" si="88"/>
        <v>0</v>
      </c>
      <c r="W286" s="15" t="str">
        <f t="shared" ca="1" si="89"/>
        <v>No_Action</v>
      </c>
      <c r="X286" s="15"/>
      <c r="Y286" s="15" t="str">
        <f t="shared" ca="1" si="90"/>
        <v>No_Action</v>
      </c>
      <c r="Z286" s="15">
        <f t="shared" ca="1" si="91"/>
        <v>0</v>
      </c>
      <c r="AA286" s="15">
        <f t="shared" ca="1" si="92"/>
        <v>0</v>
      </c>
      <c r="AB286" s="15"/>
      <c r="AC286" s="15" t="str">
        <f t="shared" ca="1" si="93"/>
        <v>NoNo</v>
      </c>
      <c r="AD286" s="15"/>
      <c r="AE286" s="15">
        <f t="shared" ca="1" si="94"/>
        <v>0</v>
      </c>
      <c r="AF286" s="16">
        <f t="shared" ca="1" si="95"/>
        <v>0</v>
      </c>
      <c r="AG286" s="16" t="str">
        <f t="shared" ca="1" si="96"/>
        <v>No_Action</v>
      </c>
      <c r="AH286" s="15"/>
      <c r="AI286" s="15" t="str">
        <f t="shared" ca="1" si="97"/>
        <v>No_Action</v>
      </c>
      <c r="AJ286" s="15">
        <f t="shared" ca="1" si="98"/>
        <v>0</v>
      </c>
      <c r="AK286" s="15">
        <f t="shared" ca="1" si="99"/>
        <v>0</v>
      </c>
    </row>
    <row r="287" spans="1:37" ht="14.5" customHeight="1" x14ac:dyDescent="0.35">
      <c r="A287" s="12" t="s">
        <v>303</v>
      </c>
      <c r="B287" s="13">
        <f ca="1">IFERROR(__xludf.DUMMYFUNCTION("GOOGLEFINANCE(""NSE:""&amp;A287,""PRICE"")"),335.3)</f>
        <v>335.3</v>
      </c>
      <c r="C287" s="13">
        <f ca="1">IFERROR(__xludf.DUMMYFUNCTION("GOOGLEFINANCE(""NSE:""&amp;A287,""PRICEOPEN"")"),341.25)</f>
        <v>341.25</v>
      </c>
      <c r="D287" s="13">
        <f ca="1">IFERROR(__xludf.DUMMYFUNCTION("GOOGLEFINANCE(""NSE:""&amp;A287,""HIGH"")"),343.5)</f>
        <v>343.5</v>
      </c>
      <c r="E287" s="13">
        <f ca="1">IFERROR(__xludf.DUMMYFUNCTION("GOOGLEFINANCE(""NSE:""&amp;A287,""LOW"")"),333.95)</f>
        <v>333.95</v>
      </c>
      <c r="F287" s="13">
        <f ca="1">IFERROR(__xludf.DUMMYFUNCTION("GOOGLEFINANCE(""NSE:""&amp;A287,""closeyest"")"),340.45)</f>
        <v>340.45</v>
      </c>
      <c r="G287" s="14">
        <f t="shared" ca="1" si="80"/>
        <v>-1.774530271398744E-2</v>
      </c>
      <c r="H287" s="13">
        <f ca="1">IFERROR(__xludf.DUMMYFUNCTION("GOOGLEFINANCE(""NSE:""&amp;A287,""VOLUME"")"),70300)</f>
        <v>70300</v>
      </c>
      <c r="I287" s="13" t="str">
        <f ca="1">IFERROR(__xludf.DUMMYFUNCTION("AVERAGE(index(GOOGLEFINANCE(""NSE:""&amp;$A287, ""volume"", today()-21, today()-1), , 2))"),"#N/A")</f>
        <v>#N/A</v>
      </c>
      <c r="J287" s="14" t="e">
        <f t="shared" ca="1" si="81"/>
        <v>#VALUE!</v>
      </c>
      <c r="K287" s="13" t="str">
        <f ca="1">IFERROR(__xludf.DUMMYFUNCTION("AVERAGE(index(GOOGLEFINANCE(""NSE:""&amp;$A287, ""close"", today()-6, today()-1), , 2))"),"#N/A")</f>
        <v>#N/A</v>
      </c>
      <c r="L287" s="13" t="str">
        <f ca="1">IFERROR(__xludf.DUMMYFUNCTION("AVERAGE(index(GOOGLEFINANCE(""NSE:""&amp;$A287, ""close"", today()-14, today()-1), , 2))"),"#N/A")</f>
        <v>#N/A</v>
      </c>
      <c r="M287" s="13" t="str">
        <f ca="1">IFERROR(__xludf.DUMMYFUNCTION("AVERAGE(index(GOOGLEFINANCE(""NSE:""&amp;$A287, ""close"", today()-22, today()-1), , 2))"),"#N/A")</f>
        <v>#N/A</v>
      </c>
      <c r="N287" s="13" t="str">
        <f t="shared" ca="1" si="82"/>
        <v>No_Action</v>
      </c>
      <c r="O287" s="13" t="str">
        <f t="shared" ca="1" si="83"/>
        <v>No_Action</v>
      </c>
      <c r="P287" s="13" t="str">
        <f t="shared" ca="1" si="84"/>
        <v>No_Action</v>
      </c>
      <c r="Q287" s="13" t="str">
        <f t="shared" ca="1" si="85"/>
        <v>No_Action</v>
      </c>
      <c r="R287" s="15"/>
      <c r="S287" s="15" t="str">
        <f t="shared" ca="1" si="86"/>
        <v>NoNo</v>
      </c>
      <c r="T287" s="15"/>
      <c r="U287" s="15">
        <f t="shared" ca="1" si="87"/>
        <v>0</v>
      </c>
      <c r="V287" s="15">
        <f t="shared" ca="1" si="88"/>
        <v>0</v>
      </c>
      <c r="W287" s="15" t="str">
        <f t="shared" ca="1" si="89"/>
        <v>No_Action</v>
      </c>
      <c r="X287" s="15"/>
      <c r="Y287" s="15" t="str">
        <f t="shared" ca="1" si="90"/>
        <v>No_Action</v>
      </c>
      <c r="Z287" s="15">
        <f t="shared" ca="1" si="91"/>
        <v>0</v>
      </c>
      <c r="AA287" s="15">
        <f t="shared" ca="1" si="92"/>
        <v>0</v>
      </c>
      <c r="AB287" s="15"/>
      <c r="AC287" s="15" t="str">
        <f t="shared" ca="1" si="93"/>
        <v>NoNo</v>
      </c>
      <c r="AD287" s="15"/>
      <c r="AE287" s="15">
        <f t="shared" ca="1" si="94"/>
        <v>0</v>
      </c>
      <c r="AF287" s="16">
        <f t="shared" ca="1" si="95"/>
        <v>0</v>
      </c>
      <c r="AG287" s="16" t="str">
        <f t="shared" ca="1" si="96"/>
        <v>No_Action</v>
      </c>
      <c r="AH287" s="15"/>
      <c r="AI287" s="15" t="str">
        <f t="shared" ca="1" si="97"/>
        <v>No_Action</v>
      </c>
      <c r="AJ287" s="15">
        <f t="shared" ca="1" si="98"/>
        <v>0</v>
      </c>
      <c r="AK287" s="15">
        <f t="shared" ca="1" si="99"/>
        <v>0</v>
      </c>
    </row>
    <row r="288" spans="1:37" ht="14.5" customHeight="1" x14ac:dyDescent="0.35">
      <c r="A288" s="12" t="s">
        <v>304</v>
      </c>
      <c r="B288" s="13">
        <f ca="1">IFERROR(__xludf.DUMMYFUNCTION("GOOGLEFINANCE(""NSE:""&amp;A288,""PRICE"")"),863.4)</f>
        <v>863.4</v>
      </c>
      <c r="C288" s="13">
        <f ca="1">IFERROR(__xludf.DUMMYFUNCTION("GOOGLEFINANCE(""NSE:""&amp;A288,""PRICEOPEN"")"),887)</f>
        <v>887</v>
      </c>
      <c r="D288" s="13">
        <f ca="1">IFERROR(__xludf.DUMMYFUNCTION("GOOGLEFINANCE(""NSE:""&amp;A288,""HIGH"")"),887)</f>
        <v>887</v>
      </c>
      <c r="E288" s="13">
        <f ca="1">IFERROR(__xludf.DUMMYFUNCTION("GOOGLEFINANCE(""NSE:""&amp;A288,""LOW"")"),857.5)</f>
        <v>857.5</v>
      </c>
      <c r="F288" s="13">
        <f ca="1">IFERROR(__xludf.DUMMYFUNCTION("GOOGLEFINANCE(""NSE:""&amp;A288,""closeyest"")"),867.65)</f>
        <v>867.65</v>
      </c>
      <c r="G288" s="14">
        <f t="shared" ca="1" si="80"/>
        <v>-2.7333796618021801E-2</v>
      </c>
      <c r="H288" s="13">
        <f ca="1">IFERROR(__xludf.DUMMYFUNCTION("GOOGLEFINANCE(""NSE:""&amp;A288,""VOLUME"")"),205409)</f>
        <v>205409</v>
      </c>
      <c r="I288" s="13" t="str">
        <f ca="1">IFERROR(__xludf.DUMMYFUNCTION("AVERAGE(index(GOOGLEFINANCE(""NSE:""&amp;$A288, ""volume"", today()-21, today()-1), , 2))"),"#N/A")</f>
        <v>#N/A</v>
      </c>
      <c r="J288" s="14" t="e">
        <f t="shared" ca="1" si="81"/>
        <v>#VALUE!</v>
      </c>
      <c r="K288" s="13" t="str">
        <f ca="1">IFERROR(__xludf.DUMMYFUNCTION("AVERAGE(index(GOOGLEFINANCE(""NSE:""&amp;$A288, ""close"", today()-6, today()-1), , 2))"),"#N/A")</f>
        <v>#N/A</v>
      </c>
      <c r="L288" s="13" t="str">
        <f ca="1">IFERROR(__xludf.DUMMYFUNCTION("AVERAGE(index(GOOGLEFINANCE(""NSE:""&amp;$A288, ""close"", today()-14, today()-1), , 2))"),"#N/A")</f>
        <v>#N/A</v>
      </c>
      <c r="M288" s="13" t="str">
        <f ca="1">IFERROR(__xludf.DUMMYFUNCTION("AVERAGE(index(GOOGLEFINANCE(""NSE:""&amp;$A288, ""close"", today()-22, today()-1), , 2))"),"#N/A")</f>
        <v>#N/A</v>
      </c>
      <c r="N288" s="13" t="str">
        <f t="shared" ca="1" si="82"/>
        <v>No_Action</v>
      </c>
      <c r="O288" s="13" t="str">
        <f t="shared" ca="1" si="83"/>
        <v>No_Action</v>
      </c>
      <c r="P288" s="13" t="str">
        <f t="shared" ca="1" si="84"/>
        <v>No_Action</v>
      </c>
      <c r="Q288" s="13" t="str">
        <f t="shared" ca="1" si="85"/>
        <v>No_Action</v>
      </c>
      <c r="R288" s="15"/>
      <c r="S288" s="15" t="str">
        <f t="shared" ca="1" si="86"/>
        <v>NoNo</v>
      </c>
      <c r="T288" s="15"/>
      <c r="U288" s="15">
        <f t="shared" ca="1" si="87"/>
        <v>0</v>
      </c>
      <c r="V288" s="15">
        <f t="shared" ca="1" si="88"/>
        <v>0</v>
      </c>
      <c r="W288" s="15" t="str">
        <f t="shared" ca="1" si="89"/>
        <v>No_Action</v>
      </c>
      <c r="X288" s="15"/>
      <c r="Y288" s="15" t="str">
        <f t="shared" ca="1" si="90"/>
        <v>No_Action</v>
      </c>
      <c r="Z288" s="15">
        <f t="shared" ca="1" si="91"/>
        <v>0</v>
      </c>
      <c r="AA288" s="15">
        <f t="shared" ca="1" si="92"/>
        <v>0</v>
      </c>
      <c r="AB288" s="15"/>
      <c r="AC288" s="15" t="str">
        <f t="shared" ca="1" si="93"/>
        <v>NoNo</v>
      </c>
      <c r="AD288" s="15"/>
      <c r="AE288" s="15">
        <f t="shared" ca="1" si="94"/>
        <v>0</v>
      </c>
      <c r="AF288" s="16">
        <f t="shared" ca="1" si="95"/>
        <v>0</v>
      </c>
      <c r="AG288" s="16" t="str">
        <f t="shared" ca="1" si="96"/>
        <v>No_Action</v>
      </c>
      <c r="AH288" s="15"/>
      <c r="AI288" s="15" t="str">
        <f t="shared" ca="1" si="97"/>
        <v>No_Action</v>
      </c>
      <c r="AJ288" s="15">
        <f t="shared" ca="1" si="98"/>
        <v>0</v>
      </c>
      <c r="AK288" s="15">
        <f t="shared" ca="1" si="99"/>
        <v>0</v>
      </c>
    </row>
    <row r="289" spans="1:37" ht="14.5" customHeight="1" x14ac:dyDescent="0.35">
      <c r="A289" s="12" t="s">
        <v>305</v>
      </c>
      <c r="B289" s="13">
        <f ca="1">IFERROR(__xludf.DUMMYFUNCTION("GOOGLEFINANCE(""NSE:""&amp;A289,""PRICE"")"),5019.95)</f>
        <v>5019.95</v>
      </c>
      <c r="C289" s="13">
        <f ca="1">IFERROR(__xludf.DUMMYFUNCTION("GOOGLEFINANCE(""NSE:""&amp;A289,""PRICEOPEN"")"),5080.6)</f>
        <v>5080.6000000000004</v>
      </c>
      <c r="D289" s="13">
        <f ca="1">IFERROR(__xludf.DUMMYFUNCTION("GOOGLEFINANCE(""NSE:""&amp;A289,""HIGH"")"),5083.5)</f>
        <v>5083.5</v>
      </c>
      <c r="E289" s="13">
        <f ca="1">IFERROR(__xludf.DUMMYFUNCTION("GOOGLEFINANCE(""NSE:""&amp;A289,""LOW"")"),5010)</f>
        <v>5010</v>
      </c>
      <c r="F289" s="13">
        <f ca="1">IFERROR(__xludf.DUMMYFUNCTION("GOOGLEFINANCE(""NSE:""&amp;A289,""closeyest"")"),5083.5)</f>
        <v>5083.5</v>
      </c>
      <c r="G289" s="14">
        <f t="shared" ca="1" si="80"/>
        <v>-1.2081793643363091E-2</v>
      </c>
      <c r="H289" s="13">
        <f ca="1">IFERROR(__xludf.DUMMYFUNCTION("GOOGLEFINANCE(""NSE:""&amp;A289,""VOLUME"")"),27196)</f>
        <v>27196</v>
      </c>
      <c r="I289" s="13" t="str">
        <f ca="1">IFERROR(__xludf.DUMMYFUNCTION("AVERAGE(index(GOOGLEFINANCE(""NSE:""&amp;$A289, ""volume"", today()-21, today()-1), , 2))"),"#N/A")</f>
        <v>#N/A</v>
      </c>
      <c r="J289" s="14" t="e">
        <f t="shared" ca="1" si="81"/>
        <v>#VALUE!</v>
      </c>
      <c r="K289" s="13" t="str">
        <f ca="1">IFERROR(__xludf.DUMMYFUNCTION("AVERAGE(index(GOOGLEFINANCE(""NSE:""&amp;$A289, ""close"", today()-6, today()-1), , 2))"),"#N/A")</f>
        <v>#N/A</v>
      </c>
      <c r="L289" s="13" t="str">
        <f ca="1">IFERROR(__xludf.DUMMYFUNCTION("AVERAGE(index(GOOGLEFINANCE(""NSE:""&amp;$A289, ""close"", today()-14, today()-1), , 2))"),"#N/A")</f>
        <v>#N/A</v>
      </c>
      <c r="M289" s="13" t="str">
        <f ca="1">IFERROR(__xludf.DUMMYFUNCTION("AVERAGE(index(GOOGLEFINANCE(""NSE:""&amp;$A289, ""close"", today()-22, today()-1), , 2))"),"#N/A")</f>
        <v>#N/A</v>
      </c>
      <c r="N289" s="13" t="str">
        <f t="shared" ca="1" si="82"/>
        <v>No_Action</v>
      </c>
      <c r="O289" s="13" t="str">
        <f t="shared" ca="1" si="83"/>
        <v>No_Action</v>
      </c>
      <c r="P289" s="13" t="str">
        <f t="shared" ca="1" si="84"/>
        <v>No_Action</v>
      </c>
      <c r="Q289" s="13" t="str">
        <f t="shared" ca="1" si="85"/>
        <v>No_Action</v>
      </c>
      <c r="R289" s="15"/>
      <c r="S289" s="15" t="str">
        <f t="shared" ca="1" si="86"/>
        <v>NoNo</v>
      </c>
      <c r="T289" s="15"/>
      <c r="U289" s="15">
        <f t="shared" ca="1" si="87"/>
        <v>0</v>
      </c>
      <c r="V289" s="15">
        <f t="shared" ca="1" si="88"/>
        <v>0</v>
      </c>
      <c r="W289" s="15" t="str">
        <f t="shared" ca="1" si="89"/>
        <v>No_Action</v>
      </c>
      <c r="X289" s="15"/>
      <c r="Y289" s="15" t="str">
        <f t="shared" ca="1" si="90"/>
        <v>No_Action</v>
      </c>
      <c r="Z289" s="15">
        <f t="shared" ca="1" si="91"/>
        <v>0</v>
      </c>
      <c r="AA289" s="15">
        <f t="shared" ca="1" si="92"/>
        <v>0</v>
      </c>
      <c r="AB289" s="15"/>
      <c r="AC289" s="15" t="str">
        <f t="shared" ca="1" si="93"/>
        <v>NoNo</v>
      </c>
      <c r="AD289" s="15"/>
      <c r="AE289" s="15">
        <f t="shared" ca="1" si="94"/>
        <v>0</v>
      </c>
      <c r="AF289" s="16">
        <f t="shared" ca="1" si="95"/>
        <v>0</v>
      </c>
      <c r="AG289" s="16" t="str">
        <f t="shared" ca="1" si="96"/>
        <v>No_Action</v>
      </c>
      <c r="AH289" s="15"/>
      <c r="AI289" s="15" t="str">
        <f t="shared" ca="1" si="97"/>
        <v>No_Action</v>
      </c>
      <c r="AJ289" s="15">
        <f t="shared" ca="1" si="98"/>
        <v>0</v>
      </c>
      <c r="AK289" s="15">
        <f t="shared" ca="1" si="99"/>
        <v>0</v>
      </c>
    </row>
    <row r="290" spans="1:37" ht="14.5" customHeight="1" x14ac:dyDescent="0.35">
      <c r="A290" s="12" t="s">
        <v>306</v>
      </c>
      <c r="B290" s="13">
        <f ca="1">IFERROR(__xludf.DUMMYFUNCTION("GOOGLEFINANCE(""NSE:""&amp;A290,""PRICE"")"),698)</f>
        <v>698</v>
      </c>
      <c r="C290" s="13">
        <f ca="1">IFERROR(__xludf.DUMMYFUNCTION("GOOGLEFINANCE(""NSE:""&amp;A290,""PRICEOPEN"")"),710)</f>
        <v>710</v>
      </c>
      <c r="D290" s="13">
        <f ca="1">IFERROR(__xludf.DUMMYFUNCTION("GOOGLEFINANCE(""NSE:""&amp;A290,""HIGH"")"),714.15)</f>
        <v>714.15</v>
      </c>
      <c r="E290" s="13">
        <f ca="1">IFERROR(__xludf.DUMMYFUNCTION("GOOGLEFINANCE(""NSE:""&amp;A290,""LOW"")"),690)</f>
        <v>690</v>
      </c>
      <c r="F290" s="13">
        <f ca="1">IFERROR(__xludf.DUMMYFUNCTION("GOOGLEFINANCE(""NSE:""&amp;A290,""closeyest"")"),702.75)</f>
        <v>702.75</v>
      </c>
      <c r="G290" s="14">
        <f t="shared" ca="1" si="80"/>
        <v>-1.7191977077363897E-2</v>
      </c>
      <c r="H290" s="13">
        <f ca="1">IFERROR(__xludf.DUMMYFUNCTION("GOOGLEFINANCE(""NSE:""&amp;A290,""VOLUME"")"),25395)</f>
        <v>25395</v>
      </c>
      <c r="I290" s="13" t="str">
        <f ca="1">IFERROR(__xludf.DUMMYFUNCTION("AVERAGE(index(GOOGLEFINANCE(""NSE:""&amp;$A290, ""volume"", today()-21, today()-1), , 2))"),"#N/A")</f>
        <v>#N/A</v>
      </c>
      <c r="J290" s="14" t="e">
        <f t="shared" ca="1" si="81"/>
        <v>#VALUE!</v>
      </c>
      <c r="K290" s="13" t="str">
        <f ca="1">IFERROR(__xludf.DUMMYFUNCTION("AVERAGE(index(GOOGLEFINANCE(""NSE:""&amp;$A290, ""close"", today()-6, today()-1), , 2))"),"#N/A")</f>
        <v>#N/A</v>
      </c>
      <c r="L290" s="13" t="str">
        <f ca="1">IFERROR(__xludf.DUMMYFUNCTION("AVERAGE(index(GOOGLEFINANCE(""NSE:""&amp;$A290, ""close"", today()-14, today()-1), , 2))"),"#N/A")</f>
        <v>#N/A</v>
      </c>
      <c r="M290" s="13" t="str">
        <f ca="1">IFERROR(__xludf.DUMMYFUNCTION("AVERAGE(index(GOOGLEFINANCE(""NSE:""&amp;$A290, ""close"", today()-22, today()-1), , 2))"),"#N/A")</f>
        <v>#N/A</v>
      </c>
      <c r="N290" s="13" t="str">
        <f t="shared" ca="1" si="82"/>
        <v>No_Action</v>
      </c>
      <c r="O290" s="13" t="str">
        <f t="shared" ca="1" si="83"/>
        <v>No_Action</v>
      </c>
      <c r="P290" s="13" t="str">
        <f t="shared" ca="1" si="84"/>
        <v>No_Action</v>
      </c>
      <c r="Q290" s="13" t="str">
        <f t="shared" ca="1" si="85"/>
        <v>No_Action</v>
      </c>
      <c r="R290" s="15"/>
      <c r="S290" s="15" t="str">
        <f t="shared" ca="1" si="86"/>
        <v>NoNo</v>
      </c>
      <c r="T290" s="15"/>
      <c r="U290" s="15">
        <f t="shared" ca="1" si="87"/>
        <v>0</v>
      </c>
      <c r="V290" s="15">
        <f t="shared" ca="1" si="88"/>
        <v>0</v>
      </c>
      <c r="W290" s="15" t="str">
        <f t="shared" ca="1" si="89"/>
        <v>No_Action</v>
      </c>
      <c r="X290" s="15"/>
      <c r="Y290" s="15" t="str">
        <f t="shared" ca="1" si="90"/>
        <v>No_Action</v>
      </c>
      <c r="Z290" s="15">
        <f t="shared" ca="1" si="91"/>
        <v>0</v>
      </c>
      <c r="AA290" s="15">
        <f t="shared" ca="1" si="92"/>
        <v>0</v>
      </c>
      <c r="AB290" s="15"/>
      <c r="AC290" s="15" t="str">
        <f t="shared" ca="1" si="93"/>
        <v>NoNo</v>
      </c>
      <c r="AD290" s="15"/>
      <c r="AE290" s="15">
        <f t="shared" ca="1" si="94"/>
        <v>0</v>
      </c>
      <c r="AF290" s="16">
        <f t="shared" ca="1" si="95"/>
        <v>0</v>
      </c>
      <c r="AG290" s="16" t="str">
        <f t="shared" ca="1" si="96"/>
        <v>No_Action</v>
      </c>
      <c r="AH290" s="15"/>
      <c r="AI290" s="15" t="str">
        <f t="shared" ca="1" si="97"/>
        <v>No_Action</v>
      </c>
      <c r="AJ290" s="15">
        <f t="shared" ca="1" si="98"/>
        <v>0</v>
      </c>
      <c r="AK290" s="15">
        <f t="shared" ca="1" si="99"/>
        <v>0</v>
      </c>
    </row>
    <row r="291" spans="1:37" ht="14.5" customHeight="1" x14ac:dyDescent="0.35">
      <c r="A291" s="12" t="s">
        <v>307</v>
      </c>
      <c r="B291" s="13">
        <f ca="1">IFERROR(__xludf.DUMMYFUNCTION("GOOGLEFINANCE(""NSE:""&amp;A291,""PRICE"")"),2318.1)</f>
        <v>2318.1</v>
      </c>
      <c r="C291" s="13">
        <f ca="1">IFERROR(__xludf.DUMMYFUNCTION("GOOGLEFINANCE(""NSE:""&amp;A291,""PRICEOPEN"")"),2290)</f>
        <v>2290</v>
      </c>
      <c r="D291" s="13">
        <f ca="1">IFERROR(__xludf.DUMMYFUNCTION("GOOGLEFINANCE(""NSE:""&amp;A291,""HIGH"")"),2318.15)</f>
        <v>2318.15</v>
      </c>
      <c r="E291" s="13">
        <f ca="1">IFERROR(__xludf.DUMMYFUNCTION("GOOGLEFINANCE(""NSE:""&amp;A291,""LOW"")"),2257.8)</f>
        <v>2257.8000000000002</v>
      </c>
      <c r="F291" s="13">
        <f ca="1">IFERROR(__xludf.DUMMYFUNCTION("GOOGLEFINANCE(""NSE:""&amp;A291,""closeyest"")"),2294.7)</f>
        <v>2294.6999999999998</v>
      </c>
      <c r="G291" s="14">
        <f t="shared" ca="1" si="80"/>
        <v>1.2121996462620211E-2</v>
      </c>
      <c r="H291" s="13">
        <f ca="1">IFERROR(__xludf.DUMMYFUNCTION("GOOGLEFINANCE(""NSE:""&amp;A291,""VOLUME"")"),393791)</f>
        <v>393791</v>
      </c>
      <c r="I291" s="13" t="str">
        <f ca="1">IFERROR(__xludf.DUMMYFUNCTION("AVERAGE(index(GOOGLEFINANCE(""NSE:""&amp;$A291, ""volume"", today()-21, today()-1), , 2))"),"#N/A")</f>
        <v>#N/A</v>
      </c>
      <c r="J291" s="14" t="e">
        <f t="shared" ca="1" si="81"/>
        <v>#VALUE!</v>
      </c>
      <c r="K291" s="13" t="str">
        <f ca="1">IFERROR(__xludf.DUMMYFUNCTION("AVERAGE(index(GOOGLEFINANCE(""NSE:""&amp;$A291, ""close"", today()-6, today()-1), , 2))"),"#N/A")</f>
        <v>#N/A</v>
      </c>
      <c r="L291" s="13" t="str">
        <f ca="1">IFERROR(__xludf.DUMMYFUNCTION("AVERAGE(index(GOOGLEFINANCE(""NSE:""&amp;$A291, ""close"", today()-14, today()-1), , 2))"),"#N/A")</f>
        <v>#N/A</v>
      </c>
      <c r="M291" s="13" t="str">
        <f ca="1">IFERROR(__xludf.DUMMYFUNCTION("AVERAGE(index(GOOGLEFINANCE(""NSE:""&amp;$A291, ""close"", today()-22, today()-1), , 2))"),"#N/A")</f>
        <v>#N/A</v>
      </c>
      <c r="N291" s="13" t="str">
        <f t="shared" ca="1" si="82"/>
        <v>No_Action</v>
      </c>
      <c r="O291" s="13" t="str">
        <f t="shared" ca="1" si="83"/>
        <v>No_Action</v>
      </c>
      <c r="P291" s="13" t="str">
        <f t="shared" ca="1" si="84"/>
        <v>No_Action</v>
      </c>
      <c r="Q291" s="13" t="str">
        <f t="shared" ca="1" si="85"/>
        <v>No_Action</v>
      </c>
      <c r="R291" s="15"/>
      <c r="S291" s="15" t="str">
        <f t="shared" ca="1" si="86"/>
        <v>NoNo</v>
      </c>
      <c r="T291" s="15"/>
      <c r="U291" s="15">
        <f t="shared" ca="1" si="87"/>
        <v>0</v>
      </c>
      <c r="V291" s="15">
        <f t="shared" ca="1" si="88"/>
        <v>0</v>
      </c>
      <c r="W291" s="15" t="str">
        <f t="shared" ca="1" si="89"/>
        <v>No_Action</v>
      </c>
      <c r="X291" s="15"/>
      <c r="Y291" s="15" t="str">
        <f t="shared" ca="1" si="90"/>
        <v>No_Action</v>
      </c>
      <c r="Z291" s="15">
        <f t="shared" ca="1" si="91"/>
        <v>0</v>
      </c>
      <c r="AA291" s="15">
        <f t="shared" ca="1" si="92"/>
        <v>0</v>
      </c>
      <c r="AB291" s="15"/>
      <c r="AC291" s="15" t="str">
        <f t="shared" ca="1" si="93"/>
        <v>NoNo</v>
      </c>
      <c r="AD291" s="15"/>
      <c r="AE291" s="15">
        <f t="shared" ca="1" si="94"/>
        <v>0</v>
      </c>
      <c r="AF291" s="16">
        <f t="shared" ca="1" si="95"/>
        <v>0</v>
      </c>
      <c r="AG291" s="16" t="str">
        <f t="shared" ca="1" si="96"/>
        <v>No_Action</v>
      </c>
      <c r="AH291" s="15"/>
      <c r="AI291" s="15" t="str">
        <f t="shared" ca="1" si="97"/>
        <v>No_Action</v>
      </c>
      <c r="AJ291" s="15">
        <f t="shared" ca="1" si="98"/>
        <v>0</v>
      </c>
      <c r="AK291" s="15">
        <f t="shared" ca="1" si="99"/>
        <v>0</v>
      </c>
    </row>
    <row r="292" spans="1:37" ht="14.5" customHeight="1" x14ac:dyDescent="0.35">
      <c r="A292" s="12" t="s">
        <v>308</v>
      </c>
      <c r="B292" s="13">
        <f ca="1">IFERROR(__xludf.DUMMYFUNCTION("GOOGLEFINANCE(""NSE:""&amp;A292,""PRICE"")"),858.2)</f>
        <v>858.2</v>
      </c>
      <c r="C292" s="13">
        <f ca="1">IFERROR(__xludf.DUMMYFUNCTION("GOOGLEFINANCE(""NSE:""&amp;A292,""PRICEOPEN"")"),859)</f>
        <v>859</v>
      </c>
      <c r="D292" s="13">
        <f ca="1">IFERROR(__xludf.DUMMYFUNCTION("GOOGLEFINANCE(""NSE:""&amp;A292,""HIGH"")"),866.85)</f>
        <v>866.85</v>
      </c>
      <c r="E292" s="13">
        <f ca="1">IFERROR(__xludf.DUMMYFUNCTION("GOOGLEFINANCE(""NSE:""&amp;A292,""LOW"")"),856.95)</f>
        <v>856.95</v>
      </c>
      <c r="F292" s="13">
        <f ca="1">IFERROR(__xludf.DUMMYFUNCTION("GOOGLEFINANCE(""NSE:""&amp;A292,""closeyest"")"),863.65)</f>
        <v>863.65</v>
      </c>
      <c r="G292" s="14">
        <f t="shared" ca="1" si="80"/>
        <v>-9.3218364017706181E-4</v>
      </c>
      <c r="H292" s="13">
        <f ca="1">IFERROR(__xludf.DUMMYFUNCTION("GOOGLEFINANCE(""NSE:""&amp;A292,""VOLUME"")"),9630346)</f>
        <v>9630346</v>
      </c>
      <c r="I292" s="13" t="str">
        <f ca="1">IFERROR(__xludf.DUMMYFUNCTION("AVERAGE(index(GOOGLEFINANCE(""NSE:""&amp;$A292, ""volume"", today()-21, today()-1), , 2))"),"#N/A")</f>
        <v>#N/A</v>
      </c>
      <c r="J292" s="14" t="e">
        <f t="shared" ca="1" si="81"/>
        <v>#VALUE!</v>
      </c>
      <c r="K292" s="13" t="str">
        <f ca="1">IFERROR(__xludf.DUMMYFUNCTION("AVERAGE(index(GOOGLEFINANCE(""NSE:""&amp;$A292, ""close"", today()-6, today()-1), , 2))"),"#N/A")</f>
        <v>#N/A</v>
      </c>
      <c r="L292" s="13" t="str">
        <f ca="1">IFERROR(__xludf.DUMMYFUNCTION("AVERAGE(index(GOOGLEFINANCE(""NSE:""&amp;$A292, ""close"", today()-14, today()-1), , 2))"),"#N/A")</f>
        <v>#N/A</v>
      </c>
      <c r="M292" s="13" t="str">
        <f ca="1">IFERROR(__xludf.DUMMYFUNCTION("AVERAGE(index(GOOGLEFINANCE(""NSE:""&amp;$A292, ""close"", today()-22, today()-1), , 2))"),"#N/A")</f>
        <v>#N/A</v>
      </c>
      <c r="N292" s="13" t="str">
        <f t="shared" ca="1" si="82"/>
        <v>No_Action</v>
      </c>
      <c r="O292" s="13" t="str">
        <f t="shared" ca="1" si="83"/>
        <v>No_Action</v>
      </c>
      <c r="P292" s="13" t="str">
        <f t="shared" ca="1" si="84"/>
        <v>No_Action</v>
      </c>
      <c r="Q292" s="13" t="str">
        <f t="shared" ca="1" si="85"/>
        <v>No_Action</v>
      </c>
      <c r="R292" s="15"/>
      <c r="S292" s="15" t="str">
        <f t="shared" ca="1" si="86"/>
        <v>NoNo</v>
      </c>
      <c r="T292" s="15"/>
      <c r="U292" s="15">
        <f t="shared" ca="1" si="87"/>
        <v>0</v>
      </c>
      <c r="V292" s="15">
        <f t="shared" ca="1" si="88"/>
        <v>0</v>
      </c>
      <c r="W292" s="15" t="str">
        <f t="shared" ca="1" si="89"/>
        <v>No_Action</v>
      </c>
      <c r="X292" s="15"/>
      <c r="Y292" s="15" t="str">
        <f t="shared" ca="1" si="90"/>
        <v>No_Action</v>
      </c>
      <c r="Z292" s="15">
        <f t="shared" ca="1" si="91"/>
        <v>0</v>
      </c>
      <c r="AA292" s="15">
        <f t="shared" ca="1" si="92"/>
        <v>0</v>
      </c>
      <c r="AB292" s="15"/>
      <c r="AC292" s="15" t="str">
        <f t="shared" ca="1" si="93"/>
        <v>NoNo</v>
      </c>
      <c r="AD292" s="15"/>
      <c r="AE292" s="15">
        <f t="shared" ca="1" si="94"/>
        <v>0</v>
      </c>
      <c r="AF292" s="16">
        <f t="shared" ca="1" si="95"/>
        <v>0</v>
      </c>
      <c r="AG292" s="16" t="str">
        <f t="shared" ca="1" si="96"/>
        <v>No_Action</v>
      </c>
      <c r="AH292" s="15"/>
      <c r="AI292" s="15" t="str">
        <f t="shared" ca="1" si="97"/>
        <v>No_Action</v>
      </c>
      <c r="AJ292" s="15">
        <f t="shared" ca="1" si="98"/>
        <v>0</v>
      </c>
      <c r="AK292" s="15">
        <f t="shared" ca="1" si="99"/>
        <v>0</v>
      </c>
    </row>
    <row r="293" spans="1:37" ht="14.5" customHeight="1" x14ac:dyDescent="0.35">
      <c r="A293" s="12" t="s">
        <v>309</v>
      </c>
      <c r="B293" s="13">
        <f ca="1">IFERROR(__xludf.DUMMYFUNCTION("GOOGLEFINANCE(""NSE:""&amp;A293,""PRICE"")"),197.5)</f>
        <v>197.5</v>
      </c>
      <c r="C293" s="13">
        <f ca="1">IFERROR(__xludf.DUMMYFUNCTION("GOOGLEFINANCE(""NSE:""&amp;A293,""PRICEOPEN"")"),200.1)</f>
        <v>200.1</v>
      </c>
      <c r="D293" s="13">
        <f ca="1">IFERROR(__xludf.DUMMYFUNCTION("GOOGLEFINANCE(""NSE:""&amp;A293,""HIGH"")"),202.06)</f>
        <v>202.06</v>
      </c>
      <c r="E293" s="13">
        <f ca="1">IFERROR(__xludf.DUMMYFUNCTION("GOOGLEFINANCE(""NSE:""&amp;A293,""LOW"")"),197.26)</f>
        <v>197.26</v>
      </c>
      <c r="F293" s="13">
        <f ca="1">IFERROR(__xludf.DUMMYFUNCTION("GOOGLEFINANCE(""NSE:""&amp;A293,""closeyest"")"),202.29)</f>
        <v>202.29</v>
      </c>
      <c r="G293" s="14">
        <f t="shared" ca="1" si="80"/>
        <v>-1.3164556962025288E-2</v>
      </c>
      <c r="H293" s="13">
        <f ca="1">IFERROR(__xludf.DUMMYFUNCTION("GOOGLEFINANCE(""NSE:""&amp;A293,""VOLUME"")"),461765)</f>
        <v>461765</v>
      </c>
      <c r="I293" s="13" t="str">
        <f ca="1">IFERROR(__xludf.DUMMYFUNCTION("AVERAGE(index(GOOGLEFINANCE(""NSE:""&amp;$A293, ""volume"", today()-21, today()-1), , 2))"),"#N/A")</f>
        <v>#N/A</v>
      </c>
      <c r="J293" s="14" t="e">
        <f t="shared" ca="1" si="81"/>
        <v>#VALUE!</v>
      </c>
      <c r="K293" s="13" t="str">
        <f ca="1">IFERROR(__xludf.DUMMYFUNCTION("AVERAGE(index(GOOGLEFINANCE(""NSE:""&amp;$A293, ""close"", today()-6, today()-1), , 2))"),"#N/A")</f>
        <v>#N/A</v>
      </c>
      <c r="L293" s="13" t="str">
        <f ca="1">IFERROR(__xludf.DUMMYFUNCTION("AVERAGE(index(GOOGLEFINANCE(""NSE:""&amp;$A293, ""close"", today()-14, today()-1), , 2))"),"#N/A")</f>
        <v>#N/A</v>
      </c>
      <c r="M293" s="13" t="str">
        <f ca="1">IFERROR(__xludf.DUMMYFUNCTION("AVERAGE(index(GOOGLEFINANCE(""NSE:""&amp;$A293, ""close"", today()-22, today()-1), , 2))"),"#N/A")</f>
        <v>#N/A</v>
      </c>
      <c r="N293" s="13" t="str">
        <f t="shared" ca="1" si="82"/>
        <v>No_Action</v>
      </c>
      <c r="O293" s="13" t="str">
        <f t="shared" ca="1" si="83"/>
        <v>No_Action</v>
      </c>
      <c r="P293" s="13" t="str">
        <f t="shared" ca="1" si="84"/>
        <v>No_Action</v>
      </c>
      <c r="Q293" s="13" t="str">
        <f t="shared" ca="1" si="85"/>
        <v>No_Action</v>
      </c>
      <c r="R293" s="15"/>
      <c r="S293" s="15" t="str">
        <f t="shared" ca="1" si="86"/>
        <v>NoNo</v>
      </c>
      <c r="T293" s="15"/>
      <c r="U293" s="15">
        <f t="shared" ca="1" si="87"/>
        <v>0</v>
      </c>
      <c r="V293" s="15">
        <f t="shared" ca="1" si="88"/>
        <v>0</v>
      </c>
      <c r="W293" s="15" t="str">
        <f t="shared" ca="1" si="89"/>
        <v>No_Action</v>
      </c>
      <c r="X293" s="15"/>
      <c r="Y293" s="15" t="str">
        <f t="shared" ca="1" si="90"/>
        <v>No_Action</v>
      </c>
      <c r="Z293" s="15">
        <f t="shared" ca="1" si="91"/>
        <v>0</v>
      </c>
      <c r="AA293" s="15">
        <f t="shared" ca="1" si="92"/>
        <v>0</v>
      </c>
      <c r="AB293" s="15"/>
      <c r="AC293" s="15" t="str">
        <f t="shared" ca="1" si="93"/>
        <v>NoNo</v>
      </c>
      <c r="AD293" s="15"/>
      <c r="AE293" s="15">
        <f t="shared" ca="1" si="94"/>
        <v>0</v>
      </c>
      <c r="AF293" s="16">
        <f t="shared" ca="1" si="95"/>
        <v>0</v>
      </c>
      <c r="AG293" s="16" t="str">
        <f t="shared" ca="1" si="96"/>
        <v>No_Action</v>
      </c>
      <c r="AH293" s="15"/>
      <c r="AI293" s="15" t="str">
        <f t="shared" ca="1" si="97"/>
        <v>No_Action</v>
      </c>
      <c r="AJ293" s="15">
        <f t="shared" ca="1" si="98"/>
        <v>0</v>
      </c>
      <c r="AK293" s="15">
        <f t="shared" ca="1" si="99"/>
        <v>0</v>
      </c>
    </row>
    <row r="294" spans="1:37" ht="14.5" customHeight="1" x14ac:dyDescent="0.35">
      <c r="A294" s="12" t="s">
        <v>310</v>
      </c>
      <c r="B294" s="13">
        <f ca="1">IFERROR(__xludf.DUMMYFUNCTION("GOOGLEFINANCE(""NSE:""&amp;A294,""PRICE"")"),665)</f>
        <v>665</v>
      </c>
      <c r="C294" s="13">
        <f ca="1">IFERROR(__xludf.DUMMYFUNCTION("GOOGLEFINANCE(""NSE:""&amp;A294,""PRICEOPEN"")"),663.4)</f>
        <v>663.4</v>
      </c>
      <c r="D294" s="13">
        <f ca="1">IFERROR(__xludf.DUMMYFUNCTION("GOOGLEFINANCE(""NSE:""&amp;A294,""HIGH"")"),682.35)</f>
        <v>682.35</v>
      </c>
      <c r="E294" s="13">
        <f ca="1">IFERROR(__xludf.DUMMYFUNCTION("GOOGLEFINANCE(""NSE:""&amp;A294,""LOW"")"),660)</f>
        <v>660</v>
      </c>
      <c r="F294" s="13">
        <f ca="1">IFERROR(__xludf.DUMMYFUNCTION("GOOGLEFINANCE(""NSE:""&amp;A294,""closeyest"")"),667.7)</f>
        <v>667.7</v>
      </c>
      <c r="G294" s="14">
        <f t="shared" ca="1" si="80"/>
        <v>2.4060150375940191E-3</v>
      </c>
      <c r="H294" s="13">
        <f ca="1">IFERROR(__xludf.DUMMYFUNCTION("GOOGLEFINANCE(""NSE:""&amp;A294,""VOLUME"")"),155028)</f>
        <v>155028</v>
      </c>
      <c r="I294" s="13" t="str">
        <f ca="1">IFERROR(__xludf.DUMMYFUNCTION("AVERAGE(index(GOOGLEFINANCE(""NSE:""&amp;$A294, ""volume"", today()-21, today()-1), , 2))"),"#N/A")</f>
        <v>#N/A</v>
      </c>
      <c r="J294" s="14" t="e">
        <f t="shared" ca="1" si="81"/>
        <v>#VALUE!</v>
      </c>
      <c r="K294" s="13" t="str">
        <f ca="1">IFERROR(__xludf.DUMMYFUNCTION("AVERAGE(index(GOOGLEFINANCE(""NSE:""&amp;$A294, ""close"", today()-6, today()-1), , 2))"),"#N/A")</f>
        <v>#N/A</v>
      </c>
      <c r="L294" s="13" t="str">
        <f ca="1">IFERROR(__xludf.DUMMYFUNCTION("AVERAGE(index(GOOGLEFINANCE(""NSE:""&amp;$A294, ""close"", today()-14, today()-1), , 2))"),"#N/A")</f>
        <v>#N/A</v>
      </c>
      <c r="M294" s="13" t="str">
        <f ca="1">IFERROR(__xludf.DUMMYFUNCTION("AVERAGE(index(GOOGLEFINANCE(""NSE:""&amp;$A294, ""close"", today()-22, today()-1), , 2))"),"#N/A")</f>
        <v>#N/A</v>
      </c>
      <c r="N294" s="13" t="str">
        <f t="shared" ca="1" si="82"/>
        <v>No_Action</v>
      </c>
      <c r="O294" s="13" t="str">
        <f t="shared" ca="1" si="83"/>
        <v>No_Action</v>
      </c>
      <c r="P294" s="13" t="str">
        <f t="shared" ca="1" si="84"/>
        <v>No_Action</v>
      </c>
      <c r="Q294" s="13" t="str">
        <f t="shared" ca="1" si="85"/>
        <v>No_Action</v>
      </c>
      <c r="R294" s="15"/>
      <c r="S294" s="15" t="str">
        <f t="shared" ca="1" si="86"/>
        <v>NoNo</v>
      </c>
      <c r="T294" s="15"/>
      <c r="U294" s="15">
        <f t="shared" ca="1" si="87"/>
        <v>0</v>
      </c>
      <c r="V294" s="15">
        <f t="shared" ca="1" si="88"/>
        <v>0</v>
      </c>
      <c r="W294" s="15" t="str">
        <f t="shared" ca="1" si="89"/>
        <v>No_Action</v>
      </c>
      <c r="X294" s="15"/>
      <c r="Y294" s="15" t="str">
        <f t="shared" ca="1" si="90"/>
        <v>No_Action</v>
      </c>
      <c r="Z294" s="15">
        <f t="shared" ca="1" si="91"/>
        <v>0</v>
      </c>
      <c r="AA294" s="15">
        <f t="shared" ca="1" si="92"/>
        <v>0</v>
      </c>
      <c r="AB294" s="15"/>
      <c r="AC294" s="15" t="str">
        <f t="shared" ca="1" si="93"/>
        <v>NoNo</v>
      </c>
      <c r="AD294" s="15"/>
      <c r="AE294" s="15">
        <f t="shared" ca="1" si="94"/>
        <v>0</v>
      </c>
      <c r="AF294" s="16">
        <f t="shared" ca="1" si="95"/>
        <v>0</v>
      </c>
      <c r="AG294" s="16" t="str">
        <f t="shared" ca="1" si="96"/>
        <v>No_Action</v>
      </c>
      <c r="AH294" s="15"/>
      <c r="AI294" s="15" t="str">
        <f t="shared" ca="1" si="97"/>
        <v>No_Action</v>
      </c>
      <c r="AJ294" s="15">
        <f t="shared" ca="1" si="98"/>
        <v>0</v>
      </c>
      <c r="AK294" s="15">
        <f t="shared" ca="1" si="99"/>
        <v>0</v>
      </c>
    </row>
    <row r="295" spans="1:37" ht="14.5" customHeight="1" x14ac:dyDescent="0.35">
      <c r="A295" s="12" t="s">
        <v>311</v>
      </c>
      <c r="B295" s="13">
        <f ca="1">IFERROR(__xludf.DUMMYFUNCTION("GOOGLEFINANCE(""NSE:""&amp;A295,""PRICE"")"),2467)</f>
        <v>2467</v>
      </c>
      <c r="C295" s="13">
        <f ca="1">IFERROR(__xludf.DUMMYFUNCTION("GOOGLEFINANCE(""NSE:""&amp;A295,""PRICEOPEN"")"),2530)</f>
        <v>2530</v>
      </c>
      <c r="D295" s="13">
        <f ca="1">IFERROR(__xludf.DUMMYFUNCTION("GOOGLEFINANCE(""NSE:""&amp;A295,""HIGH"")"),2530)</f>
        <v>2530</v>
      </c>
      <c r="E295" s="13">
        <f ca="1">IFERROR(__xludf.DUMMYFUNCTION("GOOGLEFINANCE(""NSE:""&amp;A295,""LOW"")"),2450.25)</f>
        <v>2450.25</v>
      </c>
      <c r="F295" s="13">
        <f ca="1">IFERROR(__xludf.DUMMYFUNCTION("GOOGLEFINANCE(""NSE:""&amp;A295,""closeyest"")"),2493.65)</f>
        <v>2493.65</v>
      </c>
      <c r="G295" s="14">
        <f t="shared" ca="1" si="80"/>
        <v>-2.5537089582488851E-2</v>
      </c>
      <c r="H295" s="13">
        <f ca="1">IFERROR(__xludf.DUMMYFUNCTION("GOOGLEFINANCE(""NSE:""&amp;A295,""VOLUME"")"),25830)</f>
        <v>25830</v>
      </c>
      <c r="I295" s="13" t="str">
        <f ca="1">IFERROR(__xludf.DUMMYFUNCTION("AVERAGE(index(GOOGLEFINANCE(""NSE:""&amp;$A295, ""volume"", today()-21, today()-1), , 2))"),"#N/A")</f>
        <v>#N/A</v>
      </c>
      <c r="J295" s="14" t="e">
        <f t="shared" ca="1" si="81"/>
        <v>#VALUE!</v>
      </c>
      <c r="K295" s="13" t="str">
        <f ca="1">IFERROR(__xludf.DUMMYFUNCTION("AVERAGE(index(GOOGLEFINANCE(""NSE:""&amp;$A295, ""close"", today()-6, today()-1), , 2))"),"#N/A")</f>
        <v>#N/A</v>
      </c>
      <c r="L295" s="13" t="str">
        <f ca="1">IFERROR(__xludf.DUMMYFUNCTION("AVERAGE(index(GOOGLEFINANCE(""NSE:""&amp;$A295, ""close"", today()-14, today()-1), , 2))"),"#N/A")</f>
        <v>#N/A</v>
      </c>
      <c r="M295" s="13" t="str">
        <f ca="1">IFERROR(__xludf.DUMMYFUNCTION("AVERAGE(index(GOOGLEFINANCE(""NSE:""&amp;$A295, ""close"", today()-22, today()-1), , 2))"),"#N/A")</f>
        <v>#N/A</v>
      </c>
      <c r="N295" s="13" t="str">
        <f t="shared" ca="1" si="82"/>
        <v>No_Action</v>
      </c>
      <c r="O295" s="13" t="str">
        <f t="shared" ca="1" si="83"/>
        <v>No_Action</v>
      </c>
      <c r="P295" s="13" t="str">
        <f t="shared" ca="1" si="84"/>
        <v>No_Action</v>
      </c>
      <c r="Q295" s="13" t="str">
        <f t="shared" ca="1" si="85"/>
        <v>No_Action</v>
      </c>
      <c r="R295" s="15"/>
      <c r="S295" s="15" t="str">
        <f t="shared" ca="1" si="86"/>
        <v>NoNo</v>
      </c>
      <c r="T295" s="15"/>
      <c r="U295" s="15">
        <f t="shared" ca="1" si="87"/>
        <v>0</v>
      </c>
      <c r="V295" s="15">
        <f t="shared" ca="1" si="88"/>
        <v>0</v>
      </c>
      <c r="W295" s="15" t="str">
        <f t="shared" ca="1" si="89"/>
        <v>No_Action</v>
      </c>
      <c r="X295" s="15"/>
      <c r="Y295" s="15" t="str">
        <f t="shared" ca="1" si="90"/>
        <v>No_Action</v>
      </c>
      <c r="Z295" s="15">
        <f t="shared" ca="1" si="91"/>
        <v>0</v>
      </c>
      <c r="AA295" s="15">
        <f t="shared" ca="1" si="92"/>
        <v>0</v>
      </c>
      <c r="AB295" s="15"/>
      <c r="AC295" s="15" t="str">
        <f t="shared" ca="1" si="93"/>
        <v>NoNo</v>
      </c>
      <c r="AD295" s="15"/>
      <c r="AE295" s="15">
        <f t="shared" ca="1" si="94"/>
        <v>0</v>
      </c>
      <c r="AF295" s="16">
        <f t="shared" ca="1" si="95"/>
        <v>0</v>
      </c>
      <c r="AG295" s="16" t="str">
        <f t="shared" ca="1" si="96"/>
        <v>No_Action</v>
      </c>
      <c r="AH295" s="15"/>
      <c r="AI295" s="15" t="str">
        <f t="shared" ca="1" si="97"/>
        <v>No_Action</v>
      </c>
      <c r="AJ295" s="15">
        <f t="shared" ca="1" si="98"/>
        <v>0</v>
      </c>
      <c r="AK295" s="15">
        <f t="shared" ca="1" si="99"/>
        <v>0</v>
      </c>
    </row>
    <row r="296" spans="1:37" ht="14.5" customHeight="1" x14ac:dyDescent="0.35">
      <c r="A296" s="12" t="s">
        <v>312</v>
      </c>
      <c r="B296" s="13">
        <f ca="1">IFERROR(__xludf.DUMMYFUNCTION("GOOGLEFINANCE(""NSE:""&amp;A296,""PRICE"")"),2860.95)</f>
        <v>2860.95</v>
      </c>
      <c r="C296" s="13">
        <f ca="1">IFERROR(__xludf.DUMMYFUNCTION("GOOGLEFINANCE(""NSE:""&amp;A296,""PRICEOPEN"")"),2798.2)</f>
        <v>2798.2</v>
      </c>
      <c r="D296" s="13">
        <f ca="1">IFERROR(__xludf.DUMMYFUNCTION("GOOGLEFINANCE(""NSE:""&amp;A296,""HIGH"")"),2895)</f>
        <v>2895</v>
      </c>
      <c r="E296" s="13">
        <f ca="1">IFERROR(__xludf.DUMMYFUNCTION("GOOGLEFINANCE(""NSE:""&amp;A296,""LOW"")"),2795.9)</f>
        <v>2795.9</v>
      </c>
      <c r="F296" s="13">
        <f ca="1">IFERROR(__xludf.DUMMYFUNCTION("GOOGLEFINANCE(""NSE:""&amp;A296,""closeyest"")"),2757.55)</f>
        <v>2757.55</v>
      </c>
      <c r="G296" s="14">
        <f t="shared" ca="1" si="80"/>
        <v>2.193327391251158E-2</v>
      </c>
      <c r="H296" s="13">
        <f ca="1">IFERROR(__xludf.DUMMYFUNCTION("GOOGLEFINANCE(""NSE:""&amp;A296,""VOLUME"")"),227517)</f>
        <v>227517</v>
      </c>
      <c r="I296" s="13" t="str">
        <f ca="1">IFERROR(__xludf.DUMMYFUNCTION("AVERAGE(index(GOOGLEFINANCE(""NSE:""&amp;$A296, ""volume"", today()-21, today()-1), , 2))"),"#N/A")</f>
        <v>#N/A</v>
      </c>
      <c r="J296" s="14" t="e">
        <f t="shared" ca="1" si="81"/>
        <v>#VALUE!</v>
      </c>
      <c r="K296" s="13" t="str">
        <f ca="1">IFERROR(__xludf.DUMMYFUNCTION("AVERAGE(index(GOOGLEFINANCE(""NSE:""&amp;$A296, ""close"", today()-6, today()-1), , 2))"),"#N/A")</f>
        <v>#N/A</v>
      </c>
      <c r="L296" s="13" t="str">
        <f ca="1">IFERROR(__xludf.DUMMYFUNCTION("AVERAGE(index(GOOGLEFINANCE(""NSE:""&amp;$A296, ""close"", today()-14, today()-1), , 2))"),"#N/A")</f>
        <v>#N/A</v>
      </c>
      <c r="M296" s="13" t="str">
        <f ca="1">IFERROR(__xludf.DUMMYFUNCTION("AVERAGE(index(GOOGLEFINANCE(""NSE:""&amp;$A296, ""close"", today()-22, today()-1), , 2))"),"#N/A")</f>
        <v>#N/A</v>
      </c>
      <c r="N296" s="13" t="str">
        <f t="shared" ca="1" si="82"/>
        <v>No_Action</v>
      </c>
      <c r="O296" s="13" t="str">
        <f t="shared" ca="1" si="83"/>
        <v>No_Action</v>
      </c>
      <c r="P296" s="13" t="str">
        <f t="shared" ca="1" si="84"/>
        <v>No_Action</v>
      </c>
      <c r="Q296" s="13" t="str">
        <f t="shared" ca="1" si="85"/>
        <v>No_Action</v>
      </c>
      <c r="R296" s="15"/>
      <c r="S296" s="15" t="str">
        <f t="shared" ca="1" si="86"/>
        <v>NoNo</v>
      </c>
      <c r="T296" s="15"/>
      <c r="U296" s="15">
        <f t="shared" ca="1" si="87"/>
        <v>0</v>
      </c>
      <c r="V296" s="15">
        <f t="shared" ca="1" si="88"/>
        <v>0</v>
      </c>
      <c r="W296" s="15" t="str">
        <f t="shared" ca="1" si="89"/>
        <v>No_Action</v>
      </c>
      <c r="X296" s="15"/>
      <c r="Y296" s="15" t="str">
        <f t="shared" ca="1" si="90"/>
        <v>No_Action</v>
      </c>
      <c r="Z296" s="15">
        <f t="shared" ca="1" si="91"/>
        <v>0</v>
      </c>
      <c r="AA296" s="15">
        <f t="shared" ca="1" si="92"/>
        <v>0</v>
      </c>
      <c r="AB296" s="15"/>
      <c r="AC296" s="15" t="str">
        <f t="shared" ca="1" si="93"/>
        <v>NoNo</v>
      </c>
      <c r="AD296" s="15"/>
      <c r="AE296" s="15">
        <f t="shared" ca="1" si="94"/>
        <v>0</v>
      </c>
      <c r="AF296" s="16">
        <f t="shared" ca="1" si="95"/>
        <v>0</v>
      </c>
      <c r="AG296" s="16" t="str">
        <f t="shared" ca="1" si="96"/>
        <v>No_Action</v>
      </c>
      <c r="AH296" s="15"/>
      <c r="AI296" s="15" t="str">
        <f t="shared" ca="1" si="97"/>
        <v>No_Action</v>
      </c>
      <c r="AJ296" s="15">
        <f t="shared" ca="1" si="98"/>
        <v>0</v>
      </c>
      <c r="AK296" s="15">
        <f t="shared" ca="1" si="99"/>
        <v>0</v>
      </c>
    </row>
    <row r="297" spans="1:37" ht="14.5" customHeight="1" x14ac:dyDescent="0.35">
      <c r="A297" s="12" t="s">
        <v>313</v>
      </c>
      <c r="B297" s="13">
        <f ca="1">IFERROR(__xludf.DUMMYFUNCTION("GOOGLEFINANCE(""NSE:""&amp;A297,""PRICE"")"),1131)</f>
        <v>1131</v>
      </c>
      <c r="C297" s="13">
        <f ca="1">IFERROR(__xludf.DUMMYFUNCTION("GOOGLEFINANCE(""NSE:""&amp;A297,""PRICEOPEN"")"),1130.15)</f>
        <v>1130.1500000000001</v>
      </c>
      <c r="D297" s="13">
        <f ca="1">IFERROR(__xludf.DUMMYFUNCTION("GOOGLEFINANCE(""NSE:""&amp;A297,""HIGH"")"),1139.35)</f>
        <v>1139.3499999999999</v>
      </c>
      <c r="E297" s="13">
        <f ca="1">IFERROR(__xludf.DUMMYFUNCTION("GOOGLEFINANCE(""NSE:""&amp;A297,""LOW"")"),1122.5)</f>
        <v>1122.5</v>
      </c>
      <c r="F297" s="13">
        <f ca="1">IFERROR(__xludf.DUMMYFUNCTION("GOOGLEFINANCE(""NSE:""&amp;A297,""closeyest"")"),1130.15)</f>
        <v>1130.1500000000001</v>
      </c>
      <c r="G297" s="14">
        <f t="shared" ca="1" si="80"/>
        <v>7.515473032713608E-4</v>
      </c>
      <c r="H297" s="13">
        <f ca="1">IFERROR(__xludf.DUMMYFUNCTION("GOOGLEFINANCE(""NSE:""&amp;A297,""VOLUME"")"),151332)</f>
        <v>151332</v>
      </c>
      <c r="I297" s="13" t="str">
        <f ca="1">IFERROR(__xludf.DUMMYFUNCTION("AVERAGE(index(GOOGLEFINANCE(""NSE:""&amp;$A297, ""volume"", today()-21, today()-1), , 2))"),"#N/A")</f>
        <v>#N/A</v>
      </c>
      <c r="J297" s="14" t="e">
        <f t="shared" ca="1" si="81"/>
        <v>#VALUE!</v>
      </c>
      <c r="K297" s="13" t="str">
        <f ca="1">IFERROR(__xludf.DUMMYFUNCTION("AVERAGE(index(GOOGLEFINANCE(""NSE:""&amp;$A297, ""close"", today()-6, today()-1), , 2))"),"#N/A")</f>
        <v>#N/A</v>
      </c>
      <c r="L297" s="13" t="str">
        <f ca="1">IFERROR(__xludf.DUMMYFUNCTION("AVERAGE(index(GOOGLEFINANCE(""NSE:""&amp;$A297, ""close"", today()-14, today()-1), , 2))"),"#N/A")</f>
        <v>#N/A</v>
      </c>
      <c r="M297" s="13" t="str">
        <f ca="1">IFERROR(__xludf.DUMMYFUNCTION("AVERAGE(index(GOOGLEFINANCE(""NSE:""&amp;$A297, ""close"", today()-22, today()-1), , 2))"),"#N/A")</f>
        <v>#N/A</v>
      </c>
      <c r="N297" s="13" t="str">
        <f t="shared" ca="1" si="82"/>
        <v>No_Action</v>
      </c>
      <c r="O297" s="13" t="str">
        <f t="shared" ca="1" si="83"/>
        <v>No_Action</v>
      </c>
      <c r="P297" s="13" t="str">
        <f t="shared" ca="1" si="84"/>
        <v>No_Action</v>
      </c>
      <c r="Q297" s="13" t="str">
        <f t="shared" ca="1" si="85"/>
        <v>No_Action</v>
      </c>
      <c r="R297" s="15"/>
      <c r="S297" s="15" t="str">
        <f t="shared" ca="1" si="86"/>
        <v>NoNo</v>
      </c>
      <c r="T297" s="15"/>
      <c r="U297" s="15">
        <f t="shared" ca="1" si="87"/>
        <v>0</v>
      </c>
      <c r="V297" s="15">
        <f t="shared" ca="1" si="88"/>
        <v>0</v>
      </c>
      <c r="W297" s="15" t="str">
        <f t="shared" ca="1" si="89"/>
        <v>No_Action</v>
      </c>
      <c r="X297" s="15"/>
      <c r="Y297" s="15" t="str">
        <f t="shared" ca="1" si="90"/>
        <v>No_Action</v>
      </c>
      <c r="Z297" s="15">
        <f t="shared" ca="1" si="91"/>
        <v>0</v>
      </c>
      <c r="AA297" s="15">
        <f t="shared" ca="1" si="92"/>
        <v>0</v>
      </c>
      <c r="AB297" s="15"/>
      <c r="AC297" s="15" t="str">
        <f t="shared" ca="1" si="93"/>
        <v>NoNo</v>
      </c>
      <c r="AD297" s="15"/>
      <c r="AE297" s="15">
        <f t="shared" ca="1" si="94"/>
        <v>0</v>
      </c>
      <c r="AF297" s="16">
        <f t="shared" ca="1" si="95"/>
        <v>0</v>
      </c>
      <c r="AG297" s="16" t="str">
        <f t="shared" ca="1" si="96"/>
        <v>No_Action</v>
      </c>
      <c r="AH297" s="15"/>
      <c r="AI297" s="15" t="str">
        <f t="shared" ca="1" si="97"/>
        <v>No_Action</v>
      </c>
      <c r="AJ297" s="15">
        <f t="shared" ca="1" si="98"/>
        <v>0</v>
      </c>
      <c r="AK297" s="15">
        <f t="shared" ca="1" si="99"/>
        <v>0</v>
      </c>
    </row>
    <row r="298" spans="1:37" ht="14.5" customHeight="1" x14ac:dyDescent="0.35">
      <c r="A298" s="12" t="s">
        <v>314</v>
      </c>
      <c r="B298" s="13">
        <f ca="1">IFERROR(__xludf.DUMMYFUNCTION("GOOGLEFINANCE(""NSE:""&amp;A298,""PRICE"")"),430.95)</f>
        <v>430.95</v>
      </c>
      <c r="C298" s="13">
        <f ca="1">IFERROR(__xludf.DUMMYFUNCTION("GOOGLEFINANCE(""NSE:""&amp;A298,""PRICEOPEN"")"),433.05)</f>
        <v>433.05</v>
      </c>
      <c r="D298" s="13">
        <f ca="1">IFERROR(__xludf.DUMMYFUNCTION("GOOGLEFINANCE(""NSE:""&amp;A298,""HIGH"")"),436.95)</f>
        <v>436.95</v>
      </c>
      <c r="E298" s="13">
        <f ca="1">IFERROR(__xludf.DUMMYFUNCTION("GOOGLEFINANCE(""NSE:""&amp;A298,""LOW"")"),429.85)</f>
        <v>429.85</v>
      </c>
      <c r="F298" s="13">
        <f ca="1">IFERROR(__xludf.DUMMYFUNCTION("GOOGLEFINANCE(""NSE:""&amp;A298,""closeyest"")"),433.05)</f>
        <v>433.05</v>
      </c>
      <c r="G298" s="14">
        <f t="shared" ca="1" si="80"/>
        <v>-4.8729550991994958E-3</v>
      </c>
      <c r="H298" s="13">
        <f ca="1">IFERROR(__xludf.DUMMYFUNCTION("GOOGLEFINANCE(""NSE:""&amp;A298,""VOLUME"")"),157710)</f>
        <v>157710</v>
      </c>
      <c r="I298" s="13" t="str">
        <f ca="1">IFERROR(__xludf.DUMMYFUNCTION("AVERAGE(index(GOOGLEFINANCE(""NSE:""&amp;$A298, ""volume"", today()-21, today()-1), , 2))"),"#N/A")</f>
        <v>#N/A</v>
      </c>
      <c r="J298" s="14" t="e">
        <f t="shared" ca="1" si="81"/>
        <v>#VALUE!</v>
      </c>
      <c r="K298" s="13" t="str">
        <f ca="1">IFERROR(__xludf.DUMMYFUNCTION("AVERAGE(index(GOOGLEFINANCE(""NSE:""&amp;$A298, ""close"", today()-6, today()-1), , 2))"),"#N/A")</f>
        <v>#N/A</v>
      </c>
      <c r="L298" s="13" t="str">
        <f ca="1">IFERROR(__xludf.DUMMYFUNCTION("AVERAGE(index(GOOGLEFINANCE(""NSE:""&amp;$A298, ""close"", today()-14, today()-1), , 2))"),"#N/A")</f>
        <v>#N/A</v>
      </c>
      <c r="M298" s="13" t="str">
        <f ca="1">IFERROR(__xludf.DUMMYFUNCTION("AVERAGE(index(GOOGLEFINANCE(""NSE:""&amp;$A298, ""close"", today()-22, today()-1), , 2))"),"#N/A")</f>
        <v>#N/A</v>
      </c>
      <c r="N298" s="13" t="str">
        <f t="shared" ca="1" si="82"/>
        <v>No_Action</v>
      </c>
      <c r="O298" s="13" t="str">
        <f t="shared" ca="1" si="83"/>
        <v>No_Action</v>
      </c>
      <c r="P298" s="13" t="str">
        <f t="shared" ca="1" si="84"/>
        <v>No_Action</v>
      </c>
      <c r="Q298" s="13" t="str">
        <f t="shared" ca="1" si="85"/>
        <v>No_Action</v>
      </c>
      <c r="R298" s="15"/>
      <c r="S298" s="15" t="str">
        <f t="shared" ca="1" si="86"/>
        <v>NoNo</v>
      </c>
      <c r="T298" s="15"/>
      <c r="U298" s="15">
        <f t="shared" ca="1" si="87"/>
        <v>0</v>
      </c>
      <c r="V298" s="15">
        <f t="shared" ca="1" si="88"/>
        <v>0</v>
      </c>
      <c r="W298" s="15" t="str">
        <f t="shared" ca="1" si="89"/>
        <v>No_Action</v>
      </c>
      <c r="X298" s="15"/>
      <c r="Y298" s="15" t="str">
        <f t="shared" ca="1" si="90"/>
        <v>No_Action</v>
      </c>
      <c r="Z298" s="15">
        <f t="shared" ca="1" si="91"/>
        <v>0</v>
      </c>
      <c r="AA298" s="15">
        <f t="shared" ca="1" si="92"/>
        <v>0</v>
      </c>
      <c r="AB298" s="15"/>
      <c r="AC298" s="15" t="str">
        <f t="shared" ca="1" si="93"/>
        <v>NoNo</v>
      </c>
      <c r="AD298" s="15"/>
      <c r="AE298" s="15">
        <f t="shared" ca="1" si="94"/>
        <v>0</v>
      </c>
      <c r="AF298" s="16">
        <f t="shared" ca="1" si="95"/>
        <v>0</v>
      </c>
      <c r="AG298" s="16" t="str">
        <f t="shared" ca="1" si="96"/>
        <v>No_Action</v>
      </c>
      <c r="AH298" s="15"/>
      <c r="AI298" s="15" t="str">
        <f t="shared" ca="1" si="97"/>
        <v>No_Action</v>
      </c>
      <c r="AJ298" s="15">
        <f t="shared" ca="1" si="98"/>
        <v>0</v>
      </c>
      <c r="AK298" s="15">
        <f t="shared" ca="1" si="99"/>
        <v>0</v>
      </c>
    </row>
    <row r="299" spans="1:37" ht="14.5" customHeight="1" x14ac:dyDescent="0.35">
      <c r="A299" s="12" t="s">
        <v>315</v>
      </c>
      <c r="B299" s="13">
        <f ca="1">IFERROR(__xludf.DUMMYFUNCTION("GOOGLEFINANCE(""NSE:""&amp;A299,""PRICE"")"),544.55)</f>
        <v>544.54999999999995</v>
      </c>
      <c r="C299" s="13">
        <f ca="1">IFERROR(__xludf.DUMMYFUNCTION("GOOGLEFINANCE(""NSE:""&amp;A299,""PRICEOPEN"")"),552.45)</f>
        <v>552.45000000000005</v>
      </c>
      <c r="D299" s="13">
        <f ca="1">IFERROR(__xludf.DUMMYFUNCTION("GOOGLEFINANCE(""NSE:""&amp;A299,""HIGH"")"),554.65)</f>
        <v>554.65</v>
      </c>
      <c r="E299" s="13">
        <f ca="1">IFERROR(__xludf.DUMMYFUNCTION("GOOGLEFINANCE(""NSE:""&amp;A299,""LOW"")"),542.15)</f>
        <v>542.15</v>
      </c>
      <c r="F299" s="13">
        <f ca="1">IFERROR(__xludf.DUMMYFUNCTION("GOOGLEFINANCE(""NSE:""&amp;A299,""closeyest"")"),549.15)</f>
        <v>549.15</v>
      </c>
      <c r="G299" s="14">
        <f t="shared" ca="1" si="80"/>
        <v>-1.450739142411182E-2</v>
      </c>
      <c r="H299" s="13">
        <f ca="1">IFERROR(__xludf.DUMMYFUNCTION("GOOGLEFINANCE(""NSE:""&amp;A299,""VOLUME"")"),229937)</f>
        <v>229937</v>
      </c>
      <c r="I299" s="13" t="str">
        <f ca="1">IFERROR(__xludf.DUMMYFUNCTION("AVERAGE(index(GOOGLEFINANCE(""NSE:""&amp;$A299, ""volume"", today()-21, today()-1), , 2))"),"#N/A")</f>
        <v>#N/A</v>
      </c>
      <c r="J299" s="14" t="e">
        <f t="shared" ca="1" si="81"/>
        <v>#VALUE!</v>
      </c>
      <c r="K299" s="13" t="str">
        <f ca="1">IFERROR(__xludf.DUMMYFUNCTION("AVERAGE(index(GOOGLEFINANCE(""NSE:""&amp;$A299, ""close"", today()-6, today()-1), , 2))"),"#N/A")</f>
        <v>#N/A</v>
      </c>
      <c r="L299" s="13" t="str">
        <f ca="1">IFERROR(__xludf.DUMMYFUNCTION("AVERAGE(index(GOOGLEFINANCE(""NSE:""&amp;$A299, ""close"", today()-14, today()-1), , 2))"),"#N/A")</f>
        <v>#N/A</v>
      </c>
      <c r="M299" s="13" t="str">
        <f ca="1">IFERROR(__xludf.DUMMYFUNCTION("AVERAGE(index(GOOGLEFINANCE(""NSE:""&amp;$A299, ""close"", today()-22, today()-1), , 2))"),"#N/A")</f>
        <v>#N/A</v>
      </c>
      <c r="N299" s="13" t="str">
        <f t="shared" ca="1" si="82"/>
        <v>No_Action</v>
      </c>
      <c r="O299" s="13" t="str">
        <f t="shared" ca="1" si="83"/>
        <v>No_Action</v>
      </c>
      <c r="P299" s="13" t="str">
        <f t="shared" ca="1" si="84"/>
        <v>No_Action</v>
      </c>
      <c r="Q299" s="13" t="str">
        <f t="shared" ca="1" si="85"/>
        <v>No_Action</v>
      </c>
      <c r="R299" s="15"/>
      <c r="S299" s="15" t="str">
        <f t="shared" ca="1" si="86"/>
        <v>NoNo</v>
      </c>
      <c r="T299" s="15"/>
      <c r="U299" s="15">
        <f t="shared" ca="1" si="87"/>
        <v>0</v>
      </c>
      <c r="V299" s="15">
        <f t="shared" ca="1" si="88"/>
        <v>0</v>
      </c>
      <c r="W299" s="15" t="str">
        <f t="shared" ca="1" si="89"/>
        <v>No_Action</v>
      </c>
      <c r="X299" s="15"/>
      <c r="Y299" s="15" t="str">
        <f t="shared" ca="1" si="90"/>
        <v>No_Action</v>
      </c>
      <c r="Z299" s="15">
        <f t="shared" ca="1" si="91"/>
        <v>0</v>
      </c>
      <c r="AA299" s="15">
        <f t="shared" ca="1" si="92"/>
        <v>0</v>
      </c>
      <c r="AB299" s="15"/>
      <c r="AC299" s="15" t="str">
        <f t="shared" ca="1" si="93"/>
        <v>NoNo</v>
      </c>
      <c r="AD299" s="15"/>
      <c r="AE299" s="15">
        <f t="shared" ca="1" si="94"/>
        <v>0</v>
      </c>
      <c r="AF299" s="16">
        <f t="shared" ca="1" si="95"/>
        <v>0</v>
      </c>
      <c r="AG299" s="16" t="str">
        <f t="shared" ca="1" si="96"/>
        <v>No_Action</v>
      </c>
      <c r="AH299" s="15"/>
      <c r="AI299" s="15" t="str">
        <f t="shared" ca="1" si="97"/>
        <v>No_Action</v>
      </c>
      <c r="AJ299" s="15">
        <f t="shared" ca="1" si="98"/>
        <v>0</v>
      </c>
      <c r="AK299" s="15">
        <f t="shared" ca="1" si="99"/>
        <v>0</v>
      </c>
    </row>
    <row r="300" spans="1:37" ht="14.5" customHeight="1" x14ac:dyDescent="0.35">
      <c r="A300" s="12" t="s">
        <v>316</v>
      </c>
      <c r="B300" s="13">
        <f ca="1">IFERROR(__xludf.DUMMYFUNCTION("GOOGLEFINANCE(""NSE:""&amp;A300,""PRICE"")"),1807)</f>
        <v>1807</v>
      </c>
      <c r="C300" s="13">
        <f ca="1">IFERROR(__xludf.DUMMYFUNCTION("GOOGLEFINANCE(""NSE:""&amp;A300,""PRICEOPEN"")"),1814.8)</f>
        <v>1814.8</v>
      </c>
      <c r="D300" s="13">
        <f ca="1">IFERROR(__xludf.DUMMYFUNCTION("GOOGLEFINANCE(""NSE:""&amp;A300,""HIGH"")"),1819.95)</f>
        <v>1819.95</v>
      </c>
      <c r="E300" s="13">
        <f ca="1">IFERROR(__xludf.DUMMYFUNCTION("GOOGLEFINANCE(""NSE:""&amp;A300,""LOW"")"),1796.7)</f>
        <v>1796.7</v>
      </c>
      <c r="F300" s="13">
        <f ca="1">IFERROR(__xludf.DUMMYFUNCTION("GOOGLEFINANCE(""NSE:""&amp;A300,""closeyest"")"),1804.85)</f>
        <v>1804.85</v>
      </c>
      <c r="G300" s="14">
        <f t="shared" ca="1" si="80"/>
        <v>-4.3165467625899028E-3</v>
      </c>
      <c r="H300" s="13">
        <f ca="1">IFERROR(__xludf.DUMMYFUNCTION("GOOGLEFINANCE(""NSE:""&amp;A300,""VOLUME"")"),1528215)</f>
        <v>1528215</v>
      </c>
      <c r="I300" s="13" t="str">
        <f ca="1">IFERROR(__xludf.DUMMYFUNCTION("AVERAGE(index(GOOGLEFINANCE(""NSE:""&amp;$A300, ""volume"", today()-21, today()-1), , 2))"),"#N/A")</f>
        <v>#N/A</v>
      </c>
      <c r="J300" s="14" t="e">
        <f t="shared" ca="1" si="81"/>
        <v>#VALUE!</v>
      </c>
      <c r="K300" s="13" t="str">
        <f ca="1">IFERROR(__xludf.DUMMYFUNCTION("AVERAGE(index(GOOGLEFINANCE(""NSE:""&amp;$A300, ""close"", today()-6, today()-1), , 2))"),"#N/A")</f>
        <v>#N/A</v>
      </c>
      <c r="L300" s="13" t="str">
        <f ca="1">IFERROR(__xludf.DUMMYFUNCTION("AVERAGE(index(GOOGLEFINANCE(""NSE:""&amp;$A300, ""close"", today()-14, today()-1), , 2))"),"#N/A")</f>
        <v>#N/A</v>
      </c>
      <c r="M300" s="13" t="str">
        <f ca="1">IFERROR(__xludf.DUMMYFUNCTION("AVERAGE(index(GOOGLEFINANCE(""NSE:""&amp;$A300, ""close"", today()-22, today()-1), , 2))"),"#N/A")</f>
        <v>#N/A</v>
      </c>
      <c r="N300" s="13" t="str">
        <f t="shared" ca="1" si="82"/>
        <v>No_Action</v>
      </c>
      <c r="O300" s="13" t="str">
        <f t="shared" ca="1" si="83"/>
        <v>No_Action</v>
      </c>
      <c r="P300" s="13" t="str">
        <f t="shared" ca="1" si="84"/>
        <v>No_Action</v>
      </c>
      <c r="Q300" s="13" t="str">
        <f t="shared" ca="1" si="85"/>
        <v>No_Action</v>
      </c>
      <c r="R300" s="15"/>
      <c r="S300" s="15" t="str">
        <f t="shared" ca="1" si="86"/>
        <v>NoNo</v>
      </c>
      <c r="T300" s="15"/>
      <c r="U300" s="15">
        <f t="shared" ca="1" si="87"/>
        <v>0</v>
      </c>
      <c r="V300" s="15">
        <f t="shared" ca="1" si="88"/>
        <v>0</v>
      </c>
      <c r="W300" s="15" t="str">
        <f t="shared" ca="1" si="89"/>
        <v>No_Action</v>
      </c>
      <c r="X300" s="15"/>
      <c r="Y300" s="15" t="str">
        <f t="shared" ca="1" si="90"/>
        <v>No_Action</v>
      </c>
      <c r="Z300" s="15">
        <f t="shared" ca="1" si="91"/>
        <v>0</v>
      </c>
      <c r="AA300" s="15">
        <f t="shared" ca="1" si="92"/>
        <v>0</v>
      </c>
      <c r="AB300" s="15"/>
      <c r="AC300" s="15" t="str">
        <f t="shared" ca="1" si="93"/>
        <v>NoNo</v>
      </c>
      <c r="AD300" s="15"/>
      <c r="AE300" s="15">
        <f t="shared" ca="1" si="94"/>
        <v>0</v>
      </c>
      <c r="AF300" s="16">
        <f t="shared" ca="1" si="95"/>
        <v>0</v>
      </c>
      <c r="AG300" s="16" t="str">
        <f t="shared" ca="1" si="96"/>
        <v>No_Action</v>
      </c>
      <c r="AH300" s="15"/>
      <c r="AI300" s="15" t="str">
        <f t="shared" ca="1" si="97"/>
        <v>No_Action</v>
      </c>
      <c r="AJ300" s="15">
        <f t="shared" ca="1" si="98"/>
        <v>0</v>
      </c>
      <c r="AK300" s="15">
        <f t="shared" ca="1" si="99"/>
        <v>0</v>
      </c>
    </row>
    <row r="301" spans="1:37" ht="14.5" customHeight="1" x14ac:dyDescent="0.35">
      <c r="A301" s="12" t="s">
        <v>317</v>
      </c>
      <c r="B301" s="13">
        <f ca="1">IFERROR(__xludf.DUMMYFUNCTION("GOOGLEFINANCE(""NSE:""&amp;A301,""PRICE"")"),754.95)</f>
        <v>754.95</v>
      </c>
      <c r="C301" s="13">
        <f ca="1">IFERROR(__xludf.DUMMYFUNCTION("GOOGLEFINANCE(""NSE:""&amp;A301,""PRICEOPEN"")"),763)</f>
        <v>763</v>
      </c>
      <c r="D301" s="13">
        <f ca="1">IFERROR(__xludf.DUMMYFUNCTION("GOOGLEFINANCE(""NSE:""&amp;A301,""HIGH"")"),768.9)</f>
        <v>768.9</v>
      </c>
      <c r="E301" s="13">
        <f ca="1">IFERROR(__xludf.DUMMYFUNCTION("GOOGLEFINANCE(""NSE:""&amp;A301,""LOW"")"),752.2)</f>
        <v>752.2</v>
      </c>
      <c r="F301" s="13">
        <f ca="1">IFERROR(__xludf.DUMMYFUNCTION("GOOGLEFINANCE(""NSE:""&amp;A301,""closeyest"")"),765.85)</f>
        <v>765.85</v>
      </c>
      <c r="G301" s="14">
        <f t="shared" ca="1" si="80"/>
        <v>-1.0662957811775554E-2</v>
      </c>
      <c r="H301" s="13">
        <f ca="1">IFERROR(__xludf.DUMMYFUNCTION("GOOGLEFINANCE(""NSE:""&amp;A301,""VOLUME"")"),316381)</f>
        <v>316381</v>
      </c>
      <c r="I301" s="13" t="str">
        <f ca="1">IFERROR(__xludf.DUMMYFUNCTION("AVERAGE(index(GOOGLEFINANCE(""NSE:""&amp;$A301, ""volume"", today()-21, today()-1), , 2))"),"#N/A")</f>
        <v>#N/A</v>
      </c>
      <c r="J301" s="14" t="e">
        <f t="shared" ca="1" si="81"/>
        <v>#VALUE!</v>
      </c>
      <c r="K301" s="13" t="str">
        <f ca="1">IFERROR(__xludf.DUMMYFUNCTION("AVERAGE(index(GOOGLEFINANCE(""NSE:""&amp;$A301, ""close"", today()-6, today()-1), , 2))"),"#N/A")</f>
        <v>#N/A</v>
      </c>
      <c r="L301" s="13" t="str">
        <f ca="1">IFERROR(__xludf.DUMMYFUNCTION("AVERAGE(index(GOOGLEFINANCE(""NSE:""&amp;$A301, ""close"", today()-14, today()-1), , 2))"),"#N/A")</f>
        <v>#N/A</v>
      </c>
      <c r="M301" s="13" t="str">
        <f ca="1">IFERROR(__xludf.DUMMYFUNCTION("AVERAGE(index(GOOGLEFINANCE(""NSE:""&amp;$A301, ""close"", today()-22, today()-1), , 2))"),"#N/A")</f>
        <v>#N/A</v>
      </c>
      <c r="N301" s="13" t="str">
        <f t="shared" ca="1" si="82"/>
        <v>No_Action</v>
      </c>
      <c r="O301" s="13" t="str">
        <f t="shared" ca="1" si="83"/>
        <v>No_Action</v>
      </c>
      <c r="P301" s="13" t="str">
        <f t="shared" ca="1" si="84"/>
        <v>No_Action</v>
      </c>
      <c r="Q301" s="13" t="str">
        <f t="shared" ca="1" si="85"/>
        <v>No_Action</v>
      </c>
      <c r="R301" s="15"/>
      <c r="S301" s="15" t="str">
        <f t="shared" ca="1" si="86"/>
        <v>NoNo</v>
      </c>
      <c r="T301" s="15"/>
      <c r="U301" s="15">
        <f t="shared" ca="1" si="87"/>
        <v>0</v>
      </c>
      <c r="V301" s="15">
        <f t="shared" ca="1" si="88"/>
        <v>0</v>
      </c>
      <c r="W301" s="15" t="str">
        <f t="shared" ca="1" si="89"/>
        <v>No_Action</v>
      </c>
      <c r="X301" s="15"/>
      <c r="Y301" s="15" t="str">
        <f t="shared" ca="1" si="90"/>
        <v>No_Action</v>
      </c>
      <c r="Z301" s="15">
        <f t="shared" ca="1" si="91"/>
        <v>0</v>
      </c>
      <c r="AA301" s="15">
        <f t="shared" ca="1" si="92"/>
        <v>0</v>
      </c>
      <c r="AB301" s="15"/>
      <c r="AC301" s="15" t="str">
        <f t="shared" ca="1" si="93"/>
        <v>NoNo</v>
      </c>
      <c r="AD301" s="15"/>
      <c r="AE301" s="15">
        <f t="shared" ca="1" si="94"/>
        <v>0</v>
      </c>
      <c r="AF301" s="16">
        <f t="shared" ca="1" si="95"/>
        <v>0</v>
      </c>
      <c r="AG301" s="16" t="str">
        <f t="shared" ca="1" si="96"/>
        <v>No_Action</v>
      </c>
      <c r="AH301" s="15"/>
      <c r="AI301" s="15" t="str">
        <f t="shared" ca="1" si="97"/>
        <v>No_Action</v>
      </c>
      <c r="AJ301" s="15">
        <f t="shared" ca="1" si="98"/>
        <v>0</v>
      </c>
      <c r="AK301" s="15">
        <f t="shared" ca="1" si="99"/>
        <v>0</v>
      </c>
    </row>
    <row r="302" spans="1:37" ht="14.5" customHeight="1" x14ac:dyDescent="0.35">
      <c r="A302" s="12" t="s">
        <v>318</v>
      </c>
      <c r="B302" s="13">
        <f ca="1">IFERROR(__xludf.DUMMYFUNCTION("GOOGLEFINANCE(""NSE:""&amp;A302,""PRICE"")"),4380)</f>
        <v>4380</v>
      </c>
      <c r="C302" s="13">
        <f ca="1">IFERROR(__xludf.DUMMYFUNCTION("GOOGLEFINANCE(""NSE:""&amp;A302,""PRICEOPEN"")"),4204.7)</f>
        <v>4204.7</v>
      </c>
      <c r="D302" s="13">
        <f ca="1">IFERROR(__xludf.DUMMYFUNCTION("GOOGLEFINANCE(""NSE:""&amp;A302,""HIGH"")"),4420)</f>
        <v>4420</v>
      </c>
      <c r="E302" s="13">
        <f ca="1">IFERROR(__xludf.DUMMYFUNCTION("GOOGLEFINANCE(""NSE:""&amp;A302,""LOW"")"),4204.7)</f>
        <v>4204.7</v>
      </c>
      <c r="F302" s="13">
        <f ca="1">IFERROR(__xludf.DUMMYFUNCTION("GOOGLEFINANCE(""NSE:""&amp;A302,""closeyest"")"),4165.5)</f>
        <v>4165.5</v>
      </c>
      <c r="G302" s="14">
        <f t="shared" ca="1" si="80"/>
        <v>4.0022831050228351E-2</v>
      </c>
      <c r="H302" s="13">
        <f ca="1">IFERROR(__xludf.DUMMYFUNCTION("GOOGLEFINANCE(""NSE:""&amp;A302,""VOLUME"")"),342844)</f>
        <v>342844</v>
      </c>
      <c r="I302" s="13" t="str">
        <f ca="1">IFERROR(__xludf.DUMMYFUNCTION("AVERAGE(index(GOOGLEFINANCE(""NSE:""&amp;$A302, ""volume"", today()-21, today()-1), , 2))"),"#N/A")</f>
        <v>#N/A</v>
      </c>
      <c r="J302" s="14" t="e">
        <f t="shared" ca="1" si="81"/>
        <v>#VALUE!</v>
      </c>
      <c r="K302" s="13" t="str">
        <f ca="1">IFERROR(__xludf.DUMMYFUNCTION("AVERAGE(index(GOOGLEFINANCE(""NSE:""&amp;$A302, ""close"", today()-6, today()-1), , 2))"),"#N/A")</f>
        <v>#N/A</v>
      </c>
      <c r="L302" s="13" t="str">
        <f ca="1">IFERROR(__xludf.DUMMYFUNCTION("AVERAGE(index(GOOGLEFINANCE(""NSE:""&amp;$A302, ""close"", today()-14, today()-1), , 2))"),"#N/A")</f>
        <v>#N/A</v>
      </c>
      <c r="M302" s="13" t="str">
        <f ca="1">IFERROR(__xludf.DUMMYFUNCTION("AVERAGE(index(GOOGLEFINANCE(""NSE:""&amp;$A302, ""close"", today()-22, today()-1), , 2))"),"#N/A")</f>
        <v>#N/A</v>
      </c>
      <c r="N302" s="13" t="str">
        <f t="shared" ca="1" si="82"/>
        <v>No_Action</v>
      </c>
      <c r="O302" s="13" t="str">
        <f t="shared" ca="1" si="83"/>
        <v>No_Action</v>
      </c>
      <c r="P302" s="13" t="str">
        <f t="shared" ca="1" si="84"/>
        <v>No_Action</v>
      </c>
      <c r="Q302" s="13" t="str">
        <f t="shared" ca="1" si="85"/>
        <v>No_Action</v>
      </c>
      <c r="R302" s="15"/>
      <c r="S302" s="15" t="str">
        <f t="shared" ca="1" si="86"/>
        <v>NoNo</v>
      </c>
      <c r="T302" s="15"/>
      <c r="U302" s="15">
        <f t="shared" ca="1" si="87"/>
        <v>0</v>
      </c>
      <c r="V302" s="15">
        <f t="shared" ca="1" si="88"/>
        <v>0</v>
      </c>
      <c r="W302" s="15" t="str">
        <f t="shared" ca="1" si="89"/>
        <v>No_Action</v>
      </c>
      <c r="X302" s="15"/>
      <c r="Y302" s="15" t="str">
        <f t="shared" ca="1" si="90"/>
        <v>No_Action</v>
      </c>
      <c r="Z302" s="15">
        <f t="shared" ca="1" si="91"/>
        <v>0</v>
      </c>
      <c r="AA302" s="15">
        <f t="shared" ca="1" si="92"/>
        <v>0</v>
      </c>
      <c r="AB302" s="15"/>
      <c r="AC302" s="15" t="str">
        <f t="shared" ca="1" si="93"/>
        <v>NoNo</v>
      </c>
      <c r="AD302" s="15"/>
      <c r="AE302" s="15">
        <f t="shared" ca="1" si="94"/>
        <v>0</v>
      </c>
      <c r="AF302" s="16">
        <f t="shared" ca="1" si="95"/>
        <v>0</v>
      </c>
      <c r="AG302" s="16" t="str">
        <f t="shared" ca="1" si="96"/>
        <v>No_Action</v>
      </c>
      <c r="AH302" s="15"/>
      <c r="AI302" s="15" t="str">
        <f t="shared" ca="1" si="97"/>
        <v>No_Action</v>
      </c>
      <c r="AJ302" s="15">
        <f t="shared" ca="1" si="98"/>
        <v>0</v>
      </c>
      <c r="AK302" s="15">
        <f t="shared" ca="1" si="99"/>
        <v>0</v>
      </c>
    </row>
    <row r="303" spans="1:37" ht="14.5" customHeight="1" x14ac:dyDescent="0.35">
      <c r="A303" s="12" t="s">
        <v>319</v>
      </c>
      <c r="B303" s="13">
        <f ca="1">IFERROR(__xludf.DUMMYFUNCTION("GOOGLEFINANCE(""NSE:""&amp;A303,""PRICE"")"),1183.6)</f>
        <v>1183.5999999999999</v>
      </c>
      <c r="C303" s="13">
        <f ca="1">IFERROR(__xludf.DUMMYFUNCTION("GOOGLEFINANCE(""NSE:""&amp;A303,""PRICEOPEN"")"),1138.2)</f>
        <v>1138.2</v>
      </c>
      <c r="D303" s="13">
        <f ca="1">IFERROR(__xludf.DUMMYFUNCTION("GOOGLEFINANCE(""NSE:""&amp;A303,""HIGH"")"),1187.95)</f>
        <v>1187.95</v>
      </c>
      <c r="E303" s="13">
        <f ca="1">IFERROR(__xludf.DUMMYFUNCTION("GOOGLEFINANCE(""NSE:""&amp;A303,""LOW"")"),1131.9)</f>
        <v>1131.9000000000001</v>
      </c>
      <c r="F303" s="13">
        <f ca="1">IFERROR(__xludf.DUMMYFUNCTION("GOOGLEFINANCE(""NSE:""&amp;A303,""closeyest"")"),1132.25)</f>
        <v>1132.25</v>
      </c>
      <c r="G303" s="14">
        <f t="shared" ca="1" si="80"/>
        <v>3.8357553227441589E-2</v>
      </c>
      <c r="H303" s="13">
        <f ca="1">IFERROR(__xludf.DUMMYFUNCTION("GOOGLEFINANCE(""NSE:""&amp;A303,""VOLUME"")"),1005356)</f>
        <v>1005356</v>
      </c>
      <c r="I303" s="13" t="str">
        <f ca="1">IFERROR(__xludf.DUMMYFUNCTION("AVERAGE(index(GOOGLEFINANCE(""NSE:""&amp;$A303, ""volume"", today()-21, today()-1), , 2))"),"#N/A")</f>
        <v>#N/A</v>
      </c>
      <c r="J303" s="14" t="e">
        <f t="shared" ca="1" si="81"/>
        <v>#VALUE!</v>
      </c>
      <c r="K303" s="13" t="str">
        <f ca="1">IFERROR(__xludf.DUMMYFUNCTION("AVERAGE(index(GOOGLEFINANCE(""NSE:""&amp;$A303, ""close"", today()-6, today()-1), , 2))"),"#N/A")</f>
        <v>#N/A</v>
      </c>
      <c r="L303" s="13" t="str">
        <f ca="1">IFERROR(__xludf.DUMMYFUNCTION("AVERAGE(index(GOOGLEFINANCE(""NSE:""&amp;$A303, ""close"", today()-14, today()-1), , 2))"),"#N/A")</f>
        <v>#N/A</v>
      </c>
      <c r="M303" s="13" t="str">
        <f ca="1">IFERROR(__xludf.DUMMYFUNCTION("AVERAGE(index(GOOGLEFINANCE(""NSE:""&amp;$A303, ""close"", today()-22, today()-1), , 2))"),"#N/A")</f>
        <v>#N/A</v>
      </c>
      <c r="N303" s="13" t="str">
        <f t="shared" ca="1" si="82"/>
        <v>No_Action</v>
      </c>
      <c r="O303" s="13" t="str">
        <f t="shared" ca="1" si="83"/>
        <v>No_Action</v>
      </c>
      <c r="P303" s="13" t="str">
        <f t="shared" ca="1" si="84"/>
        <v>No_Action</v>
      </c>
      <c r="Q303" s="13" t="str">
        <f t="shared" ca="1" si="85"/>
        <v>No_Action</v>
      </c>
      <c r="R303" s="15"/>
      <c r="S303" s="15" t="str">
        <f t="shared" ca="1" si="86"/>
        <v>NoNo</v>
      </c>
      <c r="T303" s="15"/>
      <c r="U303" s="15">
        <f t="shared" ca="1" si="87"/>
        <v>0</v>
      </c>
      <c r="V303" s="15">
        <f t="shared" ca="1" si="88"/>
        <v>0</v>
      </c>
      <c r="W303" s="15" t="str">
        <f t="shared" ca="1" si="89"/>
        <v>No_Action</v>
      </c>
      <c r="X303" s="15"/>
      <c r="Y303" s="15" t="str">
        <f t="shared" ca="1" si="90"/>
        <v>No_Action</v>
      </c>
      <c r="Z303" s="15">
        <f t="shared" ca="1" si="91"/>
        <v>0</v>
      </c>
      <c r="AA303" s="15">
        <f t="shared" ca="1" si="92"/>
        <v>0</v>
      </c>
      <c r="AB303" s="15"/>
      <c r="AC303" s="15" t="str">
        <f t="shared" ca="1" si="93"/>
        <v>NoNo</v>
      </c>
      <c r="AD303" s="15"/>
      <c r="AE303" s="15">
        <f t="shared" ca="1" si="94"/>
        <v>0</v>
      </c>
      <c r="AF303" s="16">
        <f t="shared" ca="1" si="95"/>
        <v>0</v>
      </c>
      <c r="AG303" s="16" t="str">
        <f t="shared" ca="1" si="96"/>
        <v>No_Action</v>
      </c>
      <c r="AH303" s="15"/>
      <c r="AI303" s="15" t="str">
        <f t="shared" ca="1" si="97"/>
        <v>No_Action</v>
      </c>
      <c r="AJ303" s="15">
        <f t="shared" ca="1" si="98"/>
        <v>0</v>
      </c>
      <c r="AK303" s="15">
        <f t="shared" ca="1" si="99"/>
        <v>0</v>
      </c>
    </row>
    <row r="304" spans="1:37" ht="14.5" customHeight="1" x14ac:dyDescent="0.35">
      <c r="A304" s="12" t="s">
        <v>320</v>
      </c>
      <c r="B304" s="13">
        <f ca="1">IFERROR(__xludf.DUMMYFUNCTION("GOOGLEFINANCE(""NSE:""&amp;A304,""PRICE"")"),5044.6)</f>
        <v>5044.6000000000004</v>
      </c>
      <c r="C304" s="13">
        <f ca="1">IFERROR(__xludf.DUMMYFUNCTION("GOOGLEFINANCE(""NSE:""&amp;A304,""PRICEOPEN"")"),4740.5)</f>
        <v>4740.5</v>
      </c>
      <c r="D304" s="13">
        <f ca="1">IFERROR(__xludf.DUMMYFUNCTION("GOOGLEFINANCE(""NSE:""&amp;A304,""HIGH"")"),5049.85)</f>
        <v>5049.8500000000004</v>
      </c>
      <c r="E304" s="13">
        <f ca="1">IFERROR(__xludf.DUMMYFUNCTION("GOOGLEFINANCE(""NSE:""&amp;A304,""LOW"")"),4738.55)</f>
        <v>4738.55</v>
      </c>
      <c r="F304" s="13">
        <f ca="1">IFERROR(__xludf.DUMMYFUNCTION("GOOGLEFINANCE(""NSE:""&amp;A304,""closeyest"")"),4738.4)</f>
        <v>4738.3999999999996</v>
      </c>
      <c r="G304" s="14">
        <f t="shared" ca="1" si="80"/>
        <v>6.0282282044166108E-2</v>
      </c>
      <c r="H304" s="13">
        <f ca="1">IFERROR(__xludf.DUMMYFUNCTION("GOOGLEFINANCE(""NSE:""&amp;A304,""VOLUME"")"),619707)</f>
        <v>619707</v>
      </c>
      <c r="I304" s="13" t="str">
        <f ca="1">IFERROR(__xludf.DUMMYFUNCTION("AVERAGE(index(GOOGLEFINANCE(""NSE:""&amp;$A304, ""volume"", today()-21, today()-1), , 2))"),"#N/A")</f>
        <v>#N/A</v>
      </c>
      <c r="J304" s="14" t="e">
        <f t="shared" ca="1" si="81"/>
        <v>#VALUE!</v>
      </c>
      <c r="K304" s="13" t="str">
        <f ca="1">IFERROR(__xludf.DUMMYFUNCTION("AVERAGE(index(GOOGLEFINANCE(""NSE:""&amp;$A304, ""close"", today()-6, today()-1), , 2))"),"#N/A")</f>
        <v>#N/A</v>
      </c>
      <c r="L304" s="13" t="str">
        <f ca="1">IFERROR(__xludf.DUMMYFUNCTION("AVERAGE(index(GOOGLEFINANCE(""NSE:""&amp;$A304, ""close"", today()-14, today()-1), , 2))"),"#N/A")</f>
        <v>#N/A</v>
      </c>
      <c r="M304" s="13" t="str">
        <f ca="1">IFERROR(__xludf.DUMMYFUNCTION("AVERAGE(index(GOOGLEFINANCE(""NSE:""&amp;$A304, ""close"", today()-22, today()-1), , 2))"),"#N/A")</f>
        <v>#N/A</v>
      </c>
      <c r="N304" s="13" t="str">
        <f t="shared" ca="1" si="82"/>
        <v>No_Action</v>
      </c>
      <c r="O304" s="13" t="str">
        <f t="shared" ca="1" si="83"/>
        <v>No_Action</v>
      </c>
      <c r="P304" s="13" t="str">
        <f t="shared" ca="1" si="84"/>
        <v>No_Action</v>
      </c>
      <c r="Q304" s="13" t="str">
        <f t="shared" ca="1" si="85"/>
        <v>No_Action</v>
      </c>
      <c r="R304" s="15"/>
      <c r="S304" s="15" t="str">
        <f t="shared" ca="1" si="86"/>
        <v>NoNo</v>
      </c>
      <c r="T304" s="15"/>
      <c r="U304" s="15">
        <f t="shared" ca="1" si="87"/>
        <v>0</v>
      </c>
      <c r="V304" s="15">
        <f t="shared" ca="1" si="88"/>
        <v>0</v>
      </c>
      <c r="W304" s="15" t="str">
        <f t="shared" ca="1" si="89"/>
        <v>No_Action</v>
      </c>
      <c r="X304" s="15"/>
      <c r="Y304" s="15" t="str">
        <f t="shared" ca="1" si="90"/>
        <v>No_Action</v>
      </c>
      <c r="Z304" s="15">
        <f t="shared" ca="1" si="91"/>
        <v>0</v>
      </c>
      <c r="AA304" s="15">
        <f t="shared" ca="1" si="92"/>
        <v>0</v>
      </c>
      <c r="AB304" s="15"/>
      <c r="AC304" s="15" t="str">
        <f t="shared" ca="1" si="93"/>
        <v>NoNo</v>
      </c>
      <c r="AD304" s="15"/>
      <c r="AE304" s="15">
        <f t="shared" ca="1" si="94"/>
        <v>0</v>
      </c>
      <c r="AF304" s="16">
        <f t="shared" ca="1" si="95"/>
        <v>0</v>
      </c>
      <c r="AG304" s="16" t="str">
        <f t="shared" ca="1" si="96"/>
        <v>No_Action</v>
      </c>
      <c r="AH304" s="15"/>
      <c r="AI304" s="15" t="str">
        <f t="shared" ca="1" si="97"/>
        <v>No_Action</v>
      </c>
      <c r="AJ304" s="15">
        <f t="shared" ca="1" si="98"/>
        <v>0</v>
      </c>
      <c r="AK304" s="15">
        <f t="shared" ca="1" si="99"/>
        <v>0</v>
      </c>
    </row>
    <row r="305" spans="1:37" ht="14.5" customHeight="1" x14ac:dyDescent="0.35">
      <c r="A305" s="12" t="s">
        <v>321</v>
      </c>
      <c r="B305" s="13">
        <f ca="1">IFERROR(__xludf.DUMMYFUNCTION("GOOGLEFINANCE(""NSE:""&amp;A305,""PRICE"")"),1386)</f>
        <v>1386</v>
      </c>
      <c r="C305" s="13">
        <f ca="1">IFERROR(__xludf.DUMMYFUNCTION("GOOGLEFINANCE(""NSE:""&amp;A305,""PRICEOPEN"")"),1359.05)</f>
        <v>1359.05</v>
      </c>
      <c r="D305" s="13">
        <f ca="1">IFERROR(__xludf.DUMMYFUNCTION("GOOGLEFINANCE(""NSE:""&amp;A305,""HIGH"")"),1392)</f>
        <v>1392</v>
      </c>
      <c r="E305" s="13">
        <f ca="1">IFERROR(__xludf.DUMMYFUNCTION("GOOGLEFINANCE(""NSE:""&amp;A305,""LOW"")"),1359.05)</f>
        <v>1359.05</v>
      </c>
      <c r="F305" s="13">
        <f ca="1">IFERROR(__xludf.DUMMYFUNCTION("GOOGLEFINANCE(""NSE:""&amp;A305,""closeyest"")"),1363.3)</f>
        <v>1363.3</v>
      </c>
      <c r="G305" s="14">
        <f t="shared" ca="1" si="80"/>
        <v>1.9444444444444476E-2</v>
      </c>
      <c r="H305" s="13">
        <f ca="1">IFERROR(__xludf.DUMMYFUNCTION("GOOGLEFINANCE(""NSE:""&amp;A305,""VOLUME"")"),47542)</f>
        <v>47542</v>
      </c>
      <c r="I305" s="13" t="str">
        <f ca="1">IFERROR(__xludf.DUMMYFUNCTION("AVERAGE(index(GOOGLEFINANCE(""NSE:""&amp;$A305, ""volume"", today()-21, today()-1), , 2))"),"#N/A")</f>
        <v>#N/A</v>
      </c>
      <c r="J305" s="14" t="e">
        <f t="shared" ca="1" si="81"/>
        <v>#VALUE!</v>
      </c>
      <c r="K305" s="13" t="str">
        <f ca="1">IFERROR(__xludf.DUMMYFUNCTION("AVERAGE(index(GOOGLEFINANCE(""NSE:""&amp;$A305, ""close"", today()-6, today()-1), , 2))"),"#N/A")</f>
        <v>#N/A</v>
      </c>
      <c r="L305" s="13" t="str">
        <f ca="1">IFERROR(__xludf.DUMMYFUNCTION("AVERAGE(index(GOOGLEFINANCE(""NSE:""&amp;$A305, ""close"", today()-14, today()-1), , 2))"),"#N/A")</f>
        <v>#N/A</v>
      </c>
      <c r="M305" s="13" t="str">
        <f ca="1">IFERROR(__xludf.DUMMYFUNCTION("AVERAGE(index(GOOGLEFINANCE(""NSE:""&amp;$A305, ""close"", today()-22, today()-1), , 2))"),"#N/A")</f>
        <v>#N/A</v>
      </c>
      <c r="N305" s="13" t="str">
        <f t="shared" ca="1" si="82"/>
        <v>No_Action</v>
      </c>
      <c r="O305" s="13" t="str">
        <f t="shared" ca="1" si="83"/>
        <v>No_Action</v>
      </c>
      <c r="P305" s="13" t="str">
        <f t="shared" ca="1" si="84"/>
        <v>No_Action</v>
      </c>
      <c r="Q305" s="13" t="str">
        <f t="shared" ca="1" si="85"/>
        <v>No_Action</v>
      </c>
      <c r="R305" s="15"/>
      <c r="S305" s="15" t="str">
        <f t="shared" ca="1" si="86"/>
        <v>NoNo</v>
      </c>
      <c r="T305" s="15"/>
      <c r="U305" s="15">
        <f t="shared" ca="1" si="87"/>
        <v>0</v>
      </c>
      <c r="V305" s="15">
        <f t="shared" ca="1" si="88"/>
        <v>0</v>
      </c>
      <c r="W305" s="15" t="str">
        <f t="shared" ca="1" si="89"/>
        <v>No_Action</v>
      </c>
      <c r="X305" s="15"/>
      <c r="Y305" s="15" t="str">
        <f t="shared" ca="1" si="90"/>
        <v>No_Action</v>
      </c>
      <c r="Z305" s="15">
        <f t="shared" ca="1" si="91"/>
        <v>0</v>
      </c>
      <c r="AA305" s="15">
        <f t="shared" ca="1" si="92"/>
        <v>0</v>
      </c>
      <c r="AB305" s="15"/>
      <c r="AC305" s="15" t="str">
        <f t="shared" ca="1" si="93"/>
        <v>NoNo</v>
      </c>
      <c r="AD305" s="15"/>
      <c r="AE305" s="15">
        <f t="shared" ca="1" si="94"/>
        <v>0</v>
      </c>
      <c r="AF305" s="16">
        <f t="shared" ca="1" si="95"/>
        <v>0</v>
      </c>
      <c r="AG305" s="16" t="str">
        <f t="shared" ca="1" si="96"/>
        <v>No_Action</v>
      </c>
      <c r="AH305" s="15"/>
      <c r="AI305" s="15" t="str">
        <f t="shared" ca="1" si="97"/>
        <v>No_Action</v>
      </c>
      <c r="AJ305" s="15">
        <f t="shared" ca="1" si="98"/>
        <v>0</v>
      </c>
      <c r="AK305" s="15">
        <f t="shared" ca="1" si="99"/>
        <v>0</v>
      </c>
    </row>
    <row r="306" spans="1:37" ht="14.5" customHeight="1" x14ac:dyDescent="0.35">
      <c r="A306" s="12" t="s">
        <v>322</v>
      </c>
      <c r="B306" s="13">
        <f ca="1">IFERROR(__xludf.DUMMYFUNCTION("GOOGLEFINANCE(""NSE:""&amp;A306,""PRICE"")"),872.7)</f>
        <v>872.7</v>
      </c>
      <c r="C306" s="13">
        <f ca="1">IFERROR(__xludf.DUMMYFUNCTION("GOOGLEFINANCE(""NSE:""&amp;A306,""PRICEOPEN"")"),900)</f>
        <v>900</v>
      </c>
      <c r="D306" s="13">
        <f ca="1">IFERROR(__xludf.DUMMYFUNCTION("GOOGLEFINANCE(""NSE:""&amp;A306,""HIGH"")"),907)</f>
        <v>907</v>
      </c>
      <c r="E306" s="13">
        <f ca="1">IFERROR(__xludf.DUMMYFUNCTION("GOOGLEFINANCE(""NSE:""&amp;A306,""LOW"")"),852)</f>
        <v>852</v>
      </c>
      <c r="F306" s="13">
        <f ca="1">IFERROR(__xludf.DUMMYFUNCTION("GOOGLEFINANCE(""NSE:""&amp;A306,""closeyest"")"),919.7)</f>
        <v>919.7</v>
      </c>
      <c r="G306" s="14">
        <f t="shared" ca="1" si="80"/>
        <v>-3.12822275696115E-2</v>
      </c>
      <c r="H306" s="13">
        <f ca="1">IFERROR(__xludf.DUMMYFUNCTION("GOOGLEFINANCE(""NSE:""&amp;A306,""VOLUME"")"),1908789)</f>
        <v>1908789</v>
      </c>
      <c r="I306" s="13" t="str">
        <f ca="1">IFERROR(__xludf.DUMMYFUNCTION("AVERAGE(index(GOOGLEFINANCE(""NSE:""&amp;$A306, ""volume"", today()-21, today()-1), , 2))"),"#N/A")</f>
        <v>#N/A</v>
      </c>
      <c r="J306" s="14" t="e">
        <f t="shared" ca="1" si="81"/>
        <v>#VALUE!</v>
      </c>
      <c r="K306" s="13" t="str">
        <f ca="1">IFERROR(__xludf.DUMMYFUNCTION("AVERAGE(index(GOOGLEFINANCE(""NSE:""&amp;$A306, ""close"", today()-6, today()-1), , 2))"),"#N/A")</f>
        <v>#N/A</v>
      </c>
      <c r="L306" s="13" t="str">
        <f ca="1">IFERROR(__xludf.DUMMYFUNCTION("AVERAGE(index(GOOGLEFINANCE(""NSE:""&amp;$A306, ""close"", today()-14, today()-1), , 2))"),"#N/A")</f>
        <v>#N/A</v>
      </c>
      <c r="M306" s="13" t="str">
        <f ca="1">IFERROR(__xludf.DUMMYFUNCTION("AVERAGE(index(GOOGLEFINANCE(""NSE:""&amp;$A306, ""close"", today()-22, today()-1), , 2))"),"#N/A")</f>
        <v>#N/A</v>
      </c>
      <c r="N306" s="13" t="str">
        <f t="shared" ca="1" si="82"/>
        <v>No_Action</v>
      </c>
      <c r="O306" s="13" t="str">
        <f t="shared" ca="1" si="83"/>
        <v>No_Action</v>
      </c>
      <c r="P306" s="13" t="str">
        <f t="shared" ca="1" si="84"/>
        <v>No_Action</v>
      </c>
      <c r="Q306" s="13" t="str">
        <f t="shared" ca="1" si="85"/>
        <v>No_Action</v>
      </c>
      <c r="R306" s="15"/>
      <c r="S306" s="15" t="str">
        <f t="shared" ca="1" si="86"/>
        <v>NoNo</v>
      </c>
      <c r="T306" s="15"/>
      <c r="U306" s="15">
        <f t="shared" ca="1" si="87"/>
        <v>0</v>
      </c>
      <c r="V306" s="15">
        <f t="shared" ca="1" si="88"/>
        <v>0</v>
      </c>
      <c r="W306" s="15" t="str">
        <f t="shared" ca="1" si="89"/>
        <v>No_Action</v>
      </c>
      <c r="X306" s="15"/>
      <c r="Y306" s="15" t="str">
        <f t="shared" ca="1" si="90"/>
        <v>No_Action</v>
      </c>
      <c r="Z306" s="15">
        <f t="shared" ca="1" si="91"/>
        <v>0</v>
      </c>
      <c r="AA306" s="15">
        <f t="shared" ca="1" si="92"/>
        <v>0</v>
      </c>
      <c r="AB306" s="15"/>
      <c r="AC306" s="15" t="str">
        <f t="shared" ca="1" si="93"/>
        <v>NoNo</v>
      </c>
      <c r="AD306" s="15"/>
      <c r="AE306" s="15">
        <f t="shared" ca="1" si="94"/>
        <v>0</v>
      </c>
      <c r="AF306" s="16">
        <f t="shared" ca="1" si="95"/>
        <v>0</v>
      </c>
      <c r="AG306" s="16" t="str">
        <f t="shared" ca="1" si="96"/>
        <v>No_Action</v>
      </c>
      <c r="AH306" s="15"/>
      <c r="AI306" s="15" t="str">
        <f t="shared" ca="1" si="97"/>
        <v>No_Action</v>
      </c>
      <c r="AJ306" s="15">
        <f t="shared" ca="1" si="98"/>
        <v>0</v>
      </c>
      <c r="AK306" s="15">
        <f t="shared" ca="1" si="99"/>
        <v>0</v>
      </c>
    </row>
    <row r="307" spans="1:37" ht="14.5" customHeight="1" x14ac:dyDescent="0.35">
      <c r="A307" s="12" t="s">
        <v>323</v>
      </c>
      <c r="B307" s="13">
        <f ca="1">IFERROR(__xludf.DUMMYFUNCTION("GOOGLEFINANCE(""NSE:""&amp;A307,""PRICE"")"),362.65)</f>
        <v>362.65</v>
      </c>
      <c r="C307" s="13">
        <f ca="1">IFERROR(__xludf.DUMMYFUNCTION("GOOGLEFINANCE(""NSE:""&amp;A307,""PRICEOPEN"")"),364)</f>
        <v>364</v>
      </c>
      <c r="D307" s="13">
        <f ca="1">IFERROR(__xludf.DUMMYFUNCTION("GOOGLEFINANCE(""NSE:""&amp;A307,""HIGH"")"),368.2)</f>
        <v>368.2</v>
      </c>
      <c r="E307" s="13">
        <f ca="1">IFERROR(__xludf.DUMMYFUNCTION("GOOGLEFINANCE(""NSE:""&amp;A307,""LOW"")"),360.25)</f>
        <v>360.25</v>
      </c>
      <c r="F307" s="13">
        <f ca="1">IFERROR(__xludf.DUMMYFUNCTION("GOOGLEFINANCE(""NSE:""&amp;A307,""closeyest"")"),362.4)</f>
        <v>362.4</v>
      </c>
      <c r="G307" s="14">
        <f t="shared" ca="1" si="80"/>
        <v>-3.7225975458431621E-3</v>
      </c>
      <c r="H307" s="13">
        <f ca="1">IFERROR(__xludf.DUMMYFUNCTION("GOOGLEFINANCE(""NSE:""&amp;A307,""VOLUME"")"),194462)</f>
        <v>194462</v>
      </c>
      <c r="I307" s="13" t="str">
        <f ca="1">IFERROR(__xludf.DUMMYFUNCTION("AVERAGE(index(GOOGLEFINANCE(""NSE:""&amp;$A307, ""volume"", today()-21, today()-1), , 2))"),"#N/A")</f>
        <v>#N/A</v>
      </c>
      <c r="J307" s="14" t="e">
        <f t="shared" ca="1" si="81"/>
        <v>#VALUE!</v>
      </c>
      <c r="K307" s="13" t="str">
        <f ca="1">IFERROR(__xludf.DUMMYFUNCTION("AVERAGE(index(GOOGLEFINANCE(""NSE:""&amp;$A307, ""close"", today()-6, today()-1), , 2))"),"#N/A")</f>
        <v>#N/A</v>
      </c>
      <c r="L307" s="13" t="str">
        <f ca="1">IFERROR(__xludf.DUMMYFUNCTION("AVERAGE(index(GOOGLEFINANCE(""NSE:""&amp;$A307, ""close"", today()-14, today()-1), , 2))"),"#N/A")</f>
        <v>#N/A</v>
      </c>
      <c r="M307" s="13" t="str">
        <f ca="1">IFERROR(__xludf.DUMMYFUNCTION("AVERAGE(index(GOOGLEFINANCE(""NSE:""&amp;$A307, ""close"", today()-22, today()-1), , 2))"),"#N/A")</f>
        <v>#N/A</v>
      </c>
      <c r="N307" s="13" t="str">
        <f t="shared" ca="1" si="82"/>
        <v>No_Action</v>
      </c>
      <c r="O307" s="13" t="str">
        <f t="shared" ca="1" si="83"/>
        <v>No_Action</v>
      </c>
      <c r="P307" s="13" t="str">
        <f t="shared" ca="1" si="84"/>
        <v>No_Action</v>
      </c>
      <c r="Q307" s="13" t="str">
        <f t="shared" ca="1" si="85"/>
        <v>No_Action</v>
      </c>
      <c r="R307" s="15"/>
      <c r="S307" s="15" t="str">
        <f t="shared" ca="1" si="86"/>
        <v>NoNo</v>
      </c>
      <c r="T307" s="15"/>
      <c r="U307" s="15">
        <f t="shared" ca="1" si="87"/>
        <v>0</v>
      </c>
      <c r="V307" s="15">
        <f t="shared" ca="1" si="88"/>
        <v>0</v>
      </c>
      <c r="W307" s="15" t="str">
        <f t="shared" ca="1" si="89"/>
        <v>No_Action</v>
      </c>
      <c r="X307" s="15"/>
      <c r="Y307" s="15" t="str">
        <f t="shared" ca="1" si="90"/>
        <v>No_Action</v>
      </c>
      <c r="Z307" s="15">
        <f t="shared" ca="1" si="91"/>
        <v>0</v>
      </c>
      <c r="AA307" s="15">
        <f t="shared" ca="1" si="92"/>
        <v>0</v>
      </c>
      <c r="AB307" s="15"/>
      <c r="AC307" s="15" t="str">
        <f t="shared" ca="1" si="93"/>
        <v>NoNo</v>
      </c>
      <c r="AD307" s="15"/>
      <c r="AE307" s="15">
        <f t="shared" ca="1" si="94"/>
        <v>0</v>
      </c>
      <c r="AF307" s="16">
        <f t="shared" ca="1" si="95"/>
        <v>0</v>
      </c>
      <c r="AG307" s="16" t="str">
        <f t="shared" ca="1" si="96"/>
        <v>No_Action</v>
      </c>
      <c r="AH307" s="15"/>
      <c r="AI307" s="15" t="str">
        <f t="shared" ca="1" si="97"/>
        <v>No_Action</v>
      </c>
      <c r="AJ307" s="15">
        <f t="shared" ca="1" si="98"/>
        <v>0</v>
      </c>
      <c r="AK307" s="15">
        <f t="shared" ca="1" si="99"/>
        <v>0</v>
      </c>
    </row>
    <row r="308" spans="1:37" ht="14.5" customHeight="1" x14ac:dyDescent="0.35">
      <c r="A308" s="12" t="s">
        <v>324</v>
      </c>
      <c r="B308" s="13">
        <f ca="1">IFERROR(__xludf.DUMMYFUNCTION("GOOGLEFINANCE(""NSE:""&amp;A308,""PRICE"")"),454)</f>
        <v>454</v>
      </c>
      <c r="C308" s="13">
        <f ca="1">IFERROR(__xludf.DUMMYFUNCTION("GOOGLEFINANCE(""NSE:""&amp;A308,""PRICEOPEN"")"),459.7)</f>
        <v>459.7</v>
      </c>
      <c r="D308" s="13">
        <f ca="1">IFERROR(__xludf.DUMMYFUNCTION("GOOGLEFINANCE(""NSE:""&amp;A308,""HIGH"")"),464.3)</f>
        <v>464.3</v>
      </c>
      <c r="E308" s="13">
        <f ca="1">IFERROR(__xludf.DUMMYFUNCTION("GOOGLEFINANCE(""NSE:""&amp;A308,""LOW"")"),448.8)</f>
        <v>448.8</v>
      </c>
      <c r="F308" s="13">
        <f ca="1">IFERROR(__xludf.DUMMYFUNCTION("GOOGLEFINANCE(""NSE:""&amp;A308,""closeyest"")"),450.6)</f>
        <v>450.6</v>
      </c>
      <c r="G308" s="14">
        <f t="shared" ca="1" si="80"/>
        <v>-1.255506607929513E-2</v>
      </c>
      <c r="H308" s="13">
        <f ca="1">IFERROR(__xludf.DUMMYFUNCTION("GOOGLEFINANCE(""NSE:""&amp;A308,""VOLUME"")"),64287)</f>
        <v>64287</v>
      </c>
      <c r="I308" s="13" t="str">
        <f ca="1">IFERROR(__xludf.DUMMYFUNCTION("AVERAGE(index(GOOGLEFINANCE(""NSE:""&amp;$A308, ""volume"", today()-21, today()-1), , 2))"),"#N/A")</f>
        <v>#N/A</v>
      </c>
      <c r="J308" s="14" t="e">
        <f t="shared" ca="1" si="81"/>
        <v>#VALUE!</v>
      </c>
      <c r="K308" s="13" t="str">
        <f ca="1">IFERROR(__xludf.DUMMYFUNCTION("AVERAGE(index(GOOGLEFINANCE(""NSE:""&amp;$A308, ""close"", today()-6, today()-1), , 2))"),"#N/A")</f>
        <v>#N/A</v>
      </c>
      <c r="L308" s="13" t="str">
        <f ca="1">IFERROR(__xludf.DUMMYFUNCTION("AVERAGE(index(GOOGLEFINANCE(""NSE:""&amp;$A308, ""close"", today()-14, today()-1), , 2))"),"#N/A")</f>
        <v>#N/A</v>
      </c>
      <c r="M308" s="13" t="str">
        <f ca="1">IFERROR(__xludf.DUMMYFUNCTION("AVERAGE(index(GOOGLEFINANCE(""NSE:""&amp;$A308, ""close"", today()-22, today()-1), , 2))"),"#N/A")</f>
        <v>#N/A</v>
      </c>
      <c r="N308" s="13" t="str">
        <f t="shared" ca="1" si="82"/>
        <v>No_Action</v>
      </c>
      <c r="O308" s="13" t="str">
        <f t="shared" ca="1" si="83"/>
        <v>No_Action</v>
      </c>
      <c r="P308" s="13" t="str">
        <f t="shared" ca="1" si="84"/>
        <v>No_Action</v>
      </c>
      <c r="Q308" s="13" t="str">
        <f t="shared" ca="1" si="85"/>
        <v>No_Action</v>
      </c>
      <c r="R308" s="15"/>
      <c r="S308" s="15" t="str">
        <f t="shared" ca="1" si="86"/>
        <v>NoNo</v>
      </c>
      <c r="T308" s="15"/>
      <c r="U308" s="15">
        <f t="shared" ca="1" si="87"/>
        <v>0</v>
      </c>
      <c r="V308" s="15">
        <f t="shared" ca="1" si="88"/>
        <v>0</v>
      </c>
      <c r="W308" s="15" t="str">
        <f t="shared" ca="1" si="89"/>
        <v>No_Action</v>
      </c>
      <c r="X308" s="15"/>
      <c r="Y308" s="15" t="str">
        <f t="shared" ca="1" si="90"/>
        <v>No_Action</v>
      </c>
      <c r="Z308" s="15">
        <f t="shared" ca="1" si="91"/>
        <v>0</v>
      </c>
      <c r="AA308" s="15">
        <f t="shared" ca="1" si="92"/>
        <v>0</v>
      </c>
      <c r="AB308" s="15"/>
      <c r="AC308" s="15" t="str">
        <f t="shared" ca="1" si="93"/>
        <v>NoNo</v>
      </c>
      <c r="AD308" s="15"/>
      <c r="AE308" s="15">
        <f t="shared" ca="1" si="94"/>
        <v>0</v>
      </c>
      <c r="AF308" s="16">
        <f t="shared" ca="1" si="95"/>
        <v>0</v>
      </c>
      <c r="AG308" s="16" t="str">
        <f t="shared" ca="1" si="96"/>
        <v>No_Action</v>
      </c>
      <c r="AH308" s="15"/>
      <c r="AI308" s="15" t="str">
        <f t="shared" ca="1" si="97"/>
        <v>No_Action</v>
      </c>
      <c r="AJ308" s="15">
        <f t="shared" ca="1" si="98"/>
        <v>0</v>
      </c>
      <c r="AK308" s="15">
        <f t="shared" ca="1" si="99"/>
        <v>0</v>
      </c>
    </row>
    <row r="309" spans="1:37" ht="14.5" customHeight="1" x14ac:dyDescent="0.35">
      <c r="A309" s="12" t="s">
        <v>325</v>
      </c>
      <c r="B309" s="13">
        <f ca="1">IFERROR(__xludf.DUMMYFUNCTION("GOOGLEFINANCE(""NSE:""&amp;A309,""PRICE"")"),149.7)</f>
        <v>149.69999999999999</v>
      </c>
      <c r="C309" s="13">
        <f ca="1">IFERROR(__xludf.DUMMYFUNCTION("GOOGLEFINANCE(""NSE:""&amp;A309,""PRICEOPEN"")"),148.29)</f>
        <v>148.29</v>
      </c>
      <c r="D309" s="13">
        <f ca="1">IFERROR(__xludf.DUMMYFUNCTION("GOOGLEFINANCE(""NSE:""&amp;A309,""HIGH"")"),150.67)</f>
        <v>150.66999999999999</v>
      </c>
      <c r="E309" s="13">
        <f ca="1">IFERROR(__xludf.DUMMYFUNCTION("GOOGLEFINANCE(""NSE:""&amp;A309,""LOW"")"),146.63)</f>
        <v>146.63</v>
      </c>
      <c r="F309" s="13">
        <f ca="1">IFERROR(__xludf.DUMMYFUNCTION("GOOGLEFINANCE(""NSE:""&amp;A309,""closeyest"")"),148.29)</f>
        <v>148.29</v>
      </c>
      <c r="G309" s="14">
        <f t="shared" ca="1" si="80"/>
        <v>9.4188376753506792E-3</v>
      </c>
      <c r="H309" s="13">
        <f ca="1">IFERROR(__xludf.DUMMYFUNCTION("GOOGLEFINANCE(""NSE:""&amp;A309,""VOLUME"")"),39059139)</f>
        <v>39059139</v>
      </c>
      <c r="I309" s="13" t="str">
        <f ca="1">IFERROR(__xludf.DUMMYFUNCTION("AVERAGE(index(GOOGLEFINANCE(""NSE:""&amp;$A309, ""volume"", today()-21, today()-1), , 2))"),"#N/A")</f>
        <v>#N/A</v>
      </c>
      <c r="J309" s="14" t="e">
        <f t="shared" ca="1" si="81"/>
        <v>#VALUE!</v>
      </c>
      <c r="K309" s="13" t="str">
        <f ca="1">IFERROR(__xludf.DUMMYFUNCTION("AVERAGE(index(GOOGLEFINANCE(""NSE:""&amp;$A309, ""close"", today()-6, today()-1), , 2))"),"#N/A")</f>
        <v>#N/A</v>
      </c>
      <c r="L309" s="13" t="str">
        <f ca="1">IFERROR(__xludf.DUMMYFUNCTION("AVERAGE(index(GOOGLEFINANCE(""NSE:""&amp;$A309, ""close"", today()-14, today()-1), , 2))"),"#N/A")</f>
        <v>#N/A</v>
      </c>
      <c r="M309" s="13" t="str">
        <f ca="1">IFERROR(__xludf.DUMMYFUNCTION("AVERAGE(index(GOOGLEFINANCE(""NSE:""&amp;$A309, ""close"", today()-22, today()-1), , 2))"),"#N/A")</f>
        <v>#N/A</v>
      </c>
      <c r="N309" s="13" t="str">
        <f t="shared" ca="1" si="82"/>
        <v>No_Action</v>
      </c>
      <c r="O309" s="13" t="str">
        <f t="shared" ca="1" si="83"/>
        <v>No_Action</v>
      </c>
      <c r="P309" s="13" t="str">
        <f t="shared" ca="1" si="84"/>
        <v>No_Action</v>
      </c>
      <c r="Q309" s="13" t="str">
        <f t="shared" ca="1" si="85"/>
        <v>No_Action</v>
      </c>
      <c r="R309" s="15"/>
      <c r="S309" s="15" t="str">
        <f t="shared" ca="1" si="86"/>
        <v>NoNo</v>
      </c>
      <c r="T309" s="15"/>
      <c r="U309" s="15">
        <f t="shared" ca="1" si="87"/>
        <v>0</v>
      </c>
      <c r="V309" s="15">
        <f t="shared" ca="1" si="88"/>
        <v>0</v>
      </c>
      <c r="W309" s="15" t="str">
        <f t="shared" ca="1" si="89"/>
        <v>No_Action</v>
      </c>
      <c r="X309" s="15"/>
      <c r="Y309" s="15" t="str">
        <f t="shared" ca="1" si="90"/>
        <v>No_Action</v>
      </c>
      <c r="Z309" s="15">
        <f t="shared" ca="1" si="91"/>
        <v>0</v>
      </c>
      <c r="AA309" s="15">
        <f t="shared" ca="1" si="92"/>
        <v>0</v>
      </c>
      <c r="AB309" s="15"/>
      <c r="AC309" s="15" t="str">
        <f t="shared" ca="1" si="93"/>
        <v>NoNo</v>
      </c>
      <c r="AD309" s="15"/>
      <c r="AE309" s="15">
        <f t="shared" ca="1" si="94"/>
        <v>0</v>
      </c>
      <c r="AF309" s="16">
        <f t="shared" ca="1" si="95"/>
        <v>0</v>
      </c>
      <c r="AG309" s="16" t="str">
        <f t="shared" ca="1" si="96"/>
        <v>No_Action</v>
      </c>
      <c r="AH309" s="15"/>
      <c r="AI309" s="15" t="str">
        <f t="shared" ca="1" si="97"/>
        <v>No_Action</v>
      </c>
      <c r="AJ309" s="15">
        <f t="shared" ca="1" si="98"/>
        <v>0</v>
      </c>
      <c r="AK309" s="15">
        <f t="shared" ca="1" si="99"/>
        <v>0</v>
      </c>
    </row>
    <row r="310" spans="1:37" ht="14.5" customHeight="1" x14ac:dyDescent="0.35">
      <c r="A310" s="12" t="s">
        <v>326</v>
      </c>
      <c r="B310" s="13">
        <f ca="1">IFERROR(__xludf.DUMMYFUNCTION("GOOGLEFINANCE(""NSE:""&amp;A310,""PRICE"")"),889)</f>
        <v>889</v>
      </c>
      <c r="C310" s="13">
        <f ca="1">IFERROR(__xludf.DUMMYFUNCTION("GOOGLEFINANCE(""NSE:""&amp;A310,""PRICEOPEN"")"),860)</f>
        <v>860</v>
      </c>
      <c r="D310" s="13">
        <f ca="1">IFERROR(__xludf.DUMMYFUNCTION("GOOGLEFINANCE(""NSE:""&amp;A310,""HIGH"")"),895)</f>
        <v>895</v>
      </c>
      <c r="E310" s="13">
        <f ca="1">IFERROR(__xludf.DUMMYFUNCTION("GOOGLEFINANCE(""NSE:""&amp;A310,""LOW"")"),860)</f>
        <v>860</v>
      </c>
      <c r="F310" s="13">
        <f ca="1">IFERROR(__xludf.DUMMYFUNCTION("GOOGLEFINANCE(""NSE:""&amp;A310,""closeyest"")"),855.5)</f>
        <v>855.5</v>
      </c>
      <c r="G310" s="14">
        <f t="shared" ca="1" si="80"/>
        <v>3.2620922384701913E-2</v>
      </c>
      <c r="H310" s="13">
        <f ca="1">IFERROR(__xludf.DUMMYFUNCTION("GOOGLEFINANCE(""NSE:""&amp;A310,""VOLUME"")"),94863)</f>
        <v>94863</v>
      </c>
      <c r="I310" s="13" t="str">
        <f ca="1">IFERROR(__xludf.DUMMYFUNCTION("AVERAGE(index(GOOGLEFINANCE(""NSE:""&amp;$A310, ""volume"", today()-21, today()-1), , 2))"),"#N/A")</f>
        <v>#N/A</v>
      </c>
      <c r="J310" s="14" t="e">
        <f t="shared" ca="1" si="81"/>
        <v>#VALUE!</v>
      </c>
      <c r="K310" s="13" t="str">
        <f ca="1">IFERROR(__xludf.DUMMYFUNCTION("AVERAGE(index(GOOGLEFINANCE(""NSE:""&amp;$A310, ""close"", today()-6, today()-1), , 2))"),"#N/A")</f>
        <v>#N/A</v>
      </c>
      <c r="L310" s="13" t="str">
        <f ca="1">IFERROR(__xludf.DUMMYFUNCTION("AVERAGE(index(GOOGLEFINANCE(""NSE:""&amp;$A310, ""close"", today()-14, today()-1), , 2))"),"#N/A")</f>
        <v>#N/A</v>
      </c>
      <c r="M310" s="13" t="str">
        <f ca="1">IFERROR(__xludf.DUMMYFUNCTION("AVERAGE(index(GOOGLEFINANCE(""NSE:""&amp;$A310, ""close"", today()-22, today()-1), , 2))"),"#N/A")</f>
        <v>#N/A</v>
      </c>
      <c r="N310" s="13" t="str">
        <f t="shared" ca="1" si="82"/>
        <v>No_Action</v>
      </c>
      <c r="O310" s="13" t="str">
        <f t="shared" ca="1" si="83"/>
        <v>No_Action</v>
      </c>
      <c r="P310" s="13" t="str">
        <f t="shared" ca="1" si="84"/>
        <v>No_Action</v>
      </c>
      <c r="Q310" s="13" t="str">
        <f t="shared" ca="1" si="85"/>
        <v>No_Action</v>
      </c>
      <c r="R310" s="15"/>
      <c r="S310" s="15" t="str">
        <f t="shared" ca="1" si="86"/>
        <v>NoNo</v>
      </c>
      <c r="T310" s="15"/>
      <c r="U310" s="15">
        <f t="shared" ca="1" si="87"/>
        <v>0</v>
      </c>
      <c r="V310" s="15">
        <f t="shared" ca="1" si="88"/>
        <v>0</v>
      </c>
      <c r="W310" s="15" t="str">
        <f t="shared" ca="1" si="89"/>
        <v>No_Action</v>
      </c>
      <c r="X310" s="15"/>
      <c r="Y310" s="15" t="str">
        <f t="shared" ca="1" si="90"/>
        <v>No_Action</v>
      </c>
      <c r="Z310" s="15">
        <f t="shared" ca="1" si="91"/>
        <v>0</v>
      </c>
      <c r="AA310" s="15">
        <f t="shared" ca="1" si="92"/>
        <v>0</v>
      </c>
      <c r="AB310" s="15"/>
      <c r="AC310" s="15" t="str">
        <f t="shared" ca="1" si="93"/>
        <v>NoNo</v>
      </c>
      <c r="AD310" s="15"/>
      <c r="AE310" s="15">
        <f t="shared" ca="1" si="94"/>
        <v>0</v>
      </c>
      <c r="AF310" s="16">
        <f t="shared" ca="1" si="95"/>
        <v>0</v>
      </c>
      <c r="AG310" s="16" t="str">
        <f t="shared" ca="1" si="96"/>
        <v>No_Action</v>
      </c>
      <c r="AH310" s="15"/>
      <c r="AI310" s="15" t="str">
        <f t="shared" ca="1" si="97"/>
        <v>No_Action</v>
      </c>
      <c r="AJ310" s="15">
        <f t="shared" ca="1" si="98"/>
        <v>0</v>
      </c>
      <c r="AK310" s="15">
        <f t="shared" ca="1" si="99"/>
        <v>0</v>
      </c>
    </row>
    <row r="311" spans="1:37" ht="14.5" customHeight="1" x14ac:dyDescent="0.35">
      <c r="A311" s="12" t="s">
        <v>327</v>
      </c>
      <c r="B311" s="13">
        <f ca="1">IFERROR(__xludf.DUMMYFUNCTION("GOOGLEFINANCE(""NSE:""&amp;A311,""PRICE"")"),3315)</f>
        <v>3315</v>
      </c>
      <c r="C311" s="13">
        <f ca="1">IFERROR(__xludf.DUMMYFUNCTION("GOOGLEFINANCE(""NSE:""&amp;A311,""PRICEOPEN"")"),3255.65)</f>
        <v>3255.65</v>
      </c>
      <c r="D311" s="13">
        <f ca="1">IFERROR(__xludf.DUMMYFUNCTION("GOOGLEFINANCE(""NSE:""&amp;A311,""HIGH"")"),3321)</f>
        <v>3321</v>
      </c>
      <c r="E311" s="13">
        <f ca="1">IFERROR(__xludf.DUMMYFUNCTION("GOOGLEFINANCE(""NSE:""&amp;A311,""LOW"")"),3255.6)</f>
        <v>3255.6</v>
      </c>
      <c r="F311" s="13">
        <f ca="1">IFERROR(__xludf.DUMMYFUNCTION("GOOGLEFINANCE(""NSE:""&amp;A311,""closeyest"")"),3247.55)</f>
        <v>3247.55</v>
      </c>
      <c r="G311" s="14">
        <f t="shared" ca="1" si="80"/>
        <v>1.790346907993964E-2</v>
      </c>
      <c r="H311" s="13">
        <f ca="1">IFERROR(__xludf.DUMMYFUNCTION("GOOGLEFINANCE(""NSE:""&amp;A311,""VOLUME"")"),1931)</f>
        <v>1931</v>
      </c>
      <c r="I311" s="13" t="str">
        <f ca="1">IFERROR(__xludf.DUMMYFUNCTION("AVERAGE(index(GOOGLEFINANCE(""NSE:""&amp;$A311, ""volume"", today()-21, today()-1), , 2))"),"#N/A")</f>
        <v>#N/A</v>
      </c>
      <c r="J311" s="14" t="e">
        <f t="shared" ca="1" si="81"/>
        <v>#VALUE!</v>
      </c>
      <c r="K311" s="13" t="str">
        <f ca="1">IFERROR(__xludf.DUMMYFUNCTION("AVERAGE(index(GOOGLEFINANCE(""NSE:""&amp;$A311, ""close"", today()-6, today()-1), , 2))"),"#N/A")</f>
        <v>#N/A</v>
      </c>
      <c r="L311" s="13" t="str">
        <f ca="1">IFERROR(__xludf.DUMMYFUNCTION("AVERAGE(index(GOOGLEFINANCE(""NSE:""&amp;$A311, ""close"", today()-14, today()-1), , 2))"),"#N/A")</f>
        <v>#N/A</v>
      </c>
      <c r="M311" s="13" t="str">
        <f ca="1">IFERROR(__xludf.DUMMYFUNCTION("AVERAGE(index(GOOGLEFINANCE(""NSE:""&amp;$A311, ""close"", today()-22, today()-1), , 2))"),"#N/A")</f>
        <v>#N/A</v>
      </c>
      <c r="N311" s="13" t="str">
        <f t="shared" ca="1" si="82"/>
        <v>No_Action</v>
      </c>
      <c r="O311" s="13" t="str">
        <f t="shared" ca="1" si="83"/>
        <v>No_Action</v>
      </c>
      <c r="P311" s="13" t="str">
        <f t="shared" ca="1" si="84"/>
        <v>No_Action</v>
      </c>
      <c r="Q311" s="13" t="str">
        <f t="shared" ca="1" si="85"/>
        <v>No_Action</v>
      </c>
      <c r="R311" s="15"/>
      <c r="S311" s="15" t="str">
        <f t="shared" ca="1" si="86"/>
        <v>NoNo</v>
      </c>
      <c r="T311" s="15"/>
      <c r="U311" s="15">
        <f t="shared" ca="1" si="87"/>
        <v>0</v>
      </c>
      <c r="V311" s="15">
        <f t="shared" ca="1" si="88"/>
        <v>0</v>
      </c>
      <c r="W311" s="15" t="str">
        <f t="shared" ca="1" si="89"/>
        <v>No_Action</v>
      </c>
      <c r="X311" s="15"/>
      <c r="Y311" s="15" t="str">
        <f t="shared" ca="1" si="90"/>
        <v>No_Action</v>
      </c>
      <c r="Z311" s="15">
        <f t="shared" ca="1" si="91"/>
        <v>0</v>
      </c>
      <c r="AA311" s="15">
        <f t="shared" ca="1" si="92"/>
        <v>0</v>
      </c>
      <c r="AB311" s="15"/>
      <c r="AC311" s="15" t="str">
        <f t="shared" ca="1" si="93"/>
        <v>NoNo</v>
      </c>
      <c r="AD311" s="15"/>
      <c r="AE311" s="15">
        <f t="shared" ca="1" si="94"/>
        <v>0</v>
      </c>
      <c r="AF311" s="16">
        <f t="shared" ca="1" si="95"/>
        <v>0</v>
      </c>
      <c r="AG311" s="16" t="str">
        <f t="shared" ca="1" si="96"/>
        <v>No_Action</v>
      </c>
      <c r="AH311" s="15"/>
      <c r="AI311" s="15" t="str">
        <f t="shared" ca="1" si="97"/>
        <v>No_Action</v>
      </c>
      <c r="AJ311" s="15">
        <f t="shared" ca="1" si="98"/>
        <v>0</v>
      </c>
      <c r="AK311" s="15">
        <f t="shared" ca="1" si="99"/>
        <v>0</v>
      </c>
    </row>
    <row r="312" spans="1:37" ht="14.5" customHeight="1" x14ac:dyDescent="0.35">
      <c r="A312" s="12" t="s">
        <v>328</v>
      </c>
      <c r="B312" s="13">
        <f ca="1">IFERROR(__xludf.DUMMYFUNCTION("GOOGLEFINANCE(""NSE:""&amp;A312,""PRICE"")"),453)</f>
        <v>453</v>
      </c>
      <c r="C312" s="13">
        <f ca="1">IFERROR(__xludf.DUMMYFUNCTION("GOOGLEFINANCE(""NSE:""&amp;A312,""PRICEOPEN"")"),440)</f>
        <v>440</v>
      </c>
      <c r="D312" s="13">
        <f ca="1">IFERROR(__xludf.DUMMYFUNCTION("GOOGLEFINANCE(""NSE:""&amp;A312,""HIGH"")"),454.45)</f>
        <v>454.45</v>
      </c>
      <c r="E312" s="13">
        <f ca="1">IFERROR(__xludf.DUMMYFUNCTION("GOOGLEFINANCE(""NSE:""&amp;A312,""LOW"")"),438.5)</f>
        <v>438.5</v>
      </c>
      <c r="F312" s="13">
        <f ca="1">IFERROR(__xludf.DUMMYFUNCTION("GOOGLEFINANCE(""NSE:""&amp;A312,""closeyest"")"),435.6)</f>
        <v>435.6</v>
      </c>
      <c r="G312" s="14">
        <f t="shared" ca="1" si="80"/>
        <v>2.8697571743929361E-2</v>
      </c>
      <c r="H312" s="13">
        <f ca="1">IFERROR(__xludf.DUMMYFUNCTION("GOOGLEFINANCE(""NSE:""&amp;A312,""VOLUME"")"),1038928)</f>
        <v>1038928</v>
      </c>
      <c r="I312" s="13" t="str">
        <f ca="1">IFERROR(__xludf.DUMMYFUNCTION("AVERAGE(index(GOOGLEFINANCE(""NSE:""&amp;$A312, ""volume"", today()-21, today()-1), , 2))"),"#N/A")</f>
        <v>#N/A</v>
      </c>
      <c r="J312" s="14" t="e">
        <f t="shared" ca="1" si="81"/>
        <v>#VALUE!</v>
      </c>
      <c r="K312" s="13" t="str">
        <f ca="1">IFERROR(__xludf.DUMMYFUNCTION("AVERAGE(index(GOOGLEFINANCE(""NSE:""&amp;$A312, ""close"", today()-6, today()-1), , 2))"),"#N/A")</f>
        <v>#N/A</v>
      </c>
      <c r="L312" s="13" t="str">
        <f ca="1">IFERROR(__xludf.DUMMYFUNCTION("AVERAGE(index(GOOGLEFINANCE(""NSE:""&amp;$A312, ""close"", today()-14, today()-1), , 2))"),"#N/A")</f>
        <v>#N/A</v>
      </c>
      <c r="M312" s="13" t="str">
        <f ca="1">IFERROR(__xludf.DUMMYFUNCTION("AVERAGE(index(GOOGLEFINANCE(""NSE:""&amp;$A312, ""close"", today()-22, today()-1), , 2))"),"#N/A")</f>
        <v>#N/A</v>
      </c>
      <c r="N312" s="13" t="str">
        <f t="shared" ca="1" si="82"/>
        <v>No_Action</v>
      </c>
      <c r="O312" s="13" t="str">
        <f t="shared" ca="1" si="83"/>
        <v>No_Action</v>
      </c>
      <c r="P312" s="13" t="str">
        <f t="shared" ca="1" si="84"/>
        <v>No_Action</v>
      </c>
      <c r="Q312" s="13" t="str">
        <f t="shared" ca="1" si="85"/>
        <v>No_Action</v>
      </c>
      <c r="R312" s="15"/>
      <c r="S312" s="15" t="str">
        <f t="shared" ca="1" si="86"/>
        <v>NoNo</v>
      </c>
      <c r="T312" s="15"/>
      <c r="U312" s="15">
        <f t="shared" ca="1" si="87"/>
        <v>0</v>
      </c>
      <c r="V312" s="15">
        <f t="shared" ca="1" si="88"/>
        <v>0</v>
      </c>
      <c r="W312" s="15" t="str">
        <f t="shared" ca="1" si="89"/>
        <v>No_Action</v>
      </c>
      <c r="X312" s="15"/>
      <c r="Y312" s="15" t="str">
        <f t="shared" ca="1" si="90"/>
        <v>No_Action</v>
      </c>
      <c r="Z312" s="15">
        <f t="shared" ca="1" si="91"/>
        <v>0</v>
      </c>
      <c r="AA312" s="15">
        <f t="shared" ca="1" si="92"/>
        <v>0</v>
      </c>
      <c r="AB312" s="15"/>
      <c r="AC312" s="15" t="str">
        <f t="shared" ca="1" si="93"/>
        <v>NoNo</v>
      </c>
      <c r="AD312" s="15"/>
      <c r="AE312" s="15">
        <f t="shared" ca="1" si="94"/>
        <v>0</v>
      </c>
      <c r="AF312" s="16">
        <f t="shared" ca="1" si="95"/>
        <v>0</v>
      </c>
      <c r="AG312" s="16" t="str">
        <f t="shared" ca="1" si="96"/>
        <v>No_Action</v>
      </c>
      <c r="AH312" s="15"/>
      <c r="AI312" s="15" t="str">
        <f t="shared" ca="1" si="97"/>
        <v>No_Action</v>
      </c>
      <c r="AJ312" s="15">
        <f t="shared" ca="1" si="98"/>
        <v>0</v>
      </c>
      <c r="AK312" s="15">
        <f t="shared" ca="1" si="99"/>
        <v>0</v>
      </c>
    </row>
    <row r="313" spans="1:37" ht="14.5" customHeight="1" x14ac:dyDescent="0.35">
      <c r="A313" s="12" t="s">
        <v>329</v>
      </c>
      <c r="B313" s="13">
        <f ca="1">IFERROR(__xludf.DUMMYFUNCTION("GOOGLEFINANCE(""NSE:""&amp;A313,""PRICE"")"),1460.75)</f>
        <v>1460.75</v>
      </c>
      <c r="C313" s="13">
        <f ca="1">IFERROR(__xludf.DUMMYFUNCTION("GOOGLEFINANCE(""NSE:""&amp;A313,""PRICEOPEN"")"),1481)</f>
        <v>1481</v>
      </c>
      <c r="D313" s="13">
        <f ca="1">IFERROR(__xludf.DUMMYFUNCTION("GOOGLEFINANCE(""NSE:""&amp;A313,""HIGH"")"),1504)</f>
        <v>1504</v>
      </c>
      <c r="E313" s="13">
        <f ca="1">IFERROR(__xludf.DUMMYFUNCTION("GOOGLEFINANCE(""NSE:""&amp;A313,""LOW"")"),1440)</f>
        <v>1440</v>
      </c>
      <c r="F313" s="13">
        <f ca="1">IFERROR(__xludf.DUMMYFUNCTION("GOOGLEFINANCE(""NSE:""&amp;A313,""closeyest"")"),1504.25)</f>
        <v>1504.25</v>
      </c>
      <c r="G313" s="14">
        <f t="shared" ca="1" si="80"/>
        <v>-1.3862741742255691E-2</v>
      </c>
      <c r="H313" s="13">
        <f ca="1">IFERROR(__xludf.DUMMYFUNCTION("GOOGLEFINANCE(""NSE:""&amp;A313,""VOLUME"")"),721966)</f>
        <v>721966</v>
      </c>
      <c r="I313" s="13" t="str">
        <f ca="1">IFERROR(__xludf.DUMMYFUNCTION("AVERAGE(index(GOOGLEFINANCE(""NSE:""&amp;$A313, ""volume"", today()-21, today()-1), , 2))"),"#N/A")</f>
        <v>#N/A</v>
      </c>
      <c r="J313" s="14" t="e">
        <f t="shared" ca="1" si="81"/>
        <v>#VALUE!</v>
      </c>
      <c r="K313" s="13" t="str">
        <f ca="1">IFERROR(__xludf.DUMMYFUNCTION("AVERAGE(index(GOOGLEFINANCE(""NSE:""&amp;$A313, ""close"", today()-6, today()-1), , 2))"),"#N/A")</f>
        <v>#N/A</v>
      </c>
      <c r="L313" s="13" t="str">
        <f ca="1">IFERROR(__xludf.DUMMYFUNCTION("AVERAGE(index(GOOGLEFINANCE(""NSE:""&amp;$A313, ""close"", today()-14, today()-1), , 2))"),"#N/A")</f>
        <v>#N/A</v>
      </c>
      <c r="M313" s="13" t="str">
        <f ca="1">IFERROR(__xludf.DUMMYFUNCTION("AVERAGE(index(GOOGLEFINANCE(""NSE:""&amp;$A313, ""close"", today()-22, today()-1), , 2))"),"#N/A")</f>
        <v>#N/A</v>
      </c>
      <c r="N313" s="13" t="str">
        <f t="shared" ca="1" si="82"/>
        <v>No_Action</v>
      </c>
      <c r="O313" s="13" t="str">
        <f t="shared" ca="1" si="83"/>
        <v>No_Action</v>
      </c>
      <c r="P313" s="13" t="str">
        <f t="shared" ca="1" si="84"/>
        <v>No_Action</v>
      </c>
      <c r="Q313" s="13" t="str">
        <f t="shared" ca="1" si="85"/>
        <v>No_Action</v>
      </c>
      <c r="R313" s="15"/>
      <c r="S313" s="15" t="str">
        <f t="shared" ca="1" si="86"/>
        <v>NoNo</v>
      </c>
      <c r="T313" s="15"/>
      <c r="U313" s="15">
        <f t="shared" ca="1" si="87"/>
        <v>0</v>
      </c>
      <c r="V313" s="15">
        <f t="shared" ca="1" si="88"/>
        <v>0</v>
      </c>
      <c r="W313" s="15" t="str">
        <f t="shared" ca="1" si="89"/>
        <v>No_Action</v>
      </c>
      <c r="X313" s="15"/>
      <c r="Y313" s="15" t="str">
        <f t="shared" ca="1" si="90"/>
        <v>No_Action</v>
      </c>
      <c r="Z313" s="15">
        <f t="shared" ca="1" si="91"/>
        <v>0</v>
      </c>
      <c r="AA313" s="15">
        <f t="shared" ca="1" si="92"/>
        <v>0</v>
      </c>
      <c r="AB313" s="15"/>
      <c r="AC313" s="15" t="str">
        <f t="shared" ca="1" si="93"/>
        <v>NoNo</v>
      </c>
      <c r="AD313" s="15"/>
      <c r="AE313" s="15">
        <f t="shared" ca="1" si="94"/>
        <v>0</v>
      </c>
      <c r="AF313" s="16">
        <f t="shared" ca="1" si="95"/>
        <v>0</v>
      </c>
      <c r="AG313" s="16" t="str">
        <f t="shared" ca="1" si="96"/>
        <v>No_Action</v>
      </c>
      <c r="AH313" s="15"/>
      <c r="AI313" s="15" t="str">
        <f t="shared" ca="1" si="97"/>
        <v>No_Action</v>
      </c>
      <c r="AJ313" s="15">
        <f t="shared" ca="1" si="98"/>
        <v>0</v>
      </c>
      <c r="AK313" s="15">
        <f t="shared" ca="1" si="99"/>
        <v>0</v>
      </c>
    </row>
    <row r="314" spans="1:37" ht="14.5" customHeight="1" x14ac:dyDescent="0.35">
      <c r="A314" s="12" t="s">
        <v>330</v>
      </c>
      <c r="B314" s="13">
        <f ca="1">IFERROR(__xludf.DUMMYFUNCTION("GOOGLEFINANCE(""NSE:""&amp;A314,""PRICE"")"),2949.5)</f>
        <v>2949.5</v>
      </c>
      <c r="C314" s="13">
        <f ca="1">IFERROR(__xludf.DUMMYFUNCTION("GOOGLEFINANCE(""NSE:""&amp;A314,""PRICEOPEN"")"),2886.4)</f>
        <v>2886.4</v>
      </c>
      <c r="D314" s="13">
        <f ca="1">IFERROR(__xludf.DUMMYFUNCTION("GOOGLEFINANCE(""NSE:""&amp;A314,""HIGH"")"),2988)</f>
        <v>2988</v>
      </c>
      <c r="E314" s="13">
        <f ca="1">IFERROR(__xludf.DUMMYFUNCTION("GOOGLEFINANCE(""NSE:""&amp;A314,""LOW"")"),2870.1)</f>
        <v>2870.1</v>
      </c>
      <c r="F314" s="13">
        <f ca="1">IFERROR(__xludf.DUMMYFUNCTION("GOOGLEFINANCE(""NSE:""&amp;A314,""closeyest"")"),2866.3)</f>
        <v>2866.3</v>
      </c>
      <c r="G314" s="14">
        <f t="shared" ca="1" si="80"/>
        <v>2.1393456518053876E-2</v>
      </c>
      <c r="H314" s="13">
        <f ca="1">IFERROR(__xludf.DUMMYFUNCTION("GOOGLEFINANCE(""NSE:""&amp;A314,""VOLUME"")"),17352)</f>
        <v>17352</v>
      </c>
      <c r="I314" s="13" t="str">
        <f ca="1">IFERROR(__xludf.DUMMYFUNCTION("AVERAGE(index(GOOGLEFINANCE(""NSE:""&amp;$A314, ""volume"", today()-21, today()-1), , 2))"),"#N/A")</f>
        <v>#N/A</v>
      </c>
      <c r="J314" s="14" t="e">
        <f t="shared" ca="1" si="81"/>
        <v>#VALUE!</v>
      </c>
      <c r="K314" s="13" t="str">
        <f ca="1">IFERROR(__xludf.DUMMYFUNCTION("AVERAGE(index(GOOGLEFINANCE(""NSE:""&amp;$A314, ""close"", today()-6, today()-1), , 2))"),"#N/A")</f>
        <v>#N/A</v>
      </c>
      <c r="L314" s="13" t="str">
        <f ca="1">IFERROR(__xludf.DUMMYFUNCTION("AVERAGE(index(GOOGLEFINANCE(""NSE:""&amp;$A314, ""close"", today()-14, today()-1), , 2))"),"#N/A")</f>
        <v>#N/A</v>
      </c>
      <c r="M314" s="13" t="str">
        <f ca="1">IFERROR(__xludf.DUMMYFUNCTION("AVERAGE(index(GOOGLEFINANCE(""NSE:""&amp;$A314, ""close"", today()-22, today()-1), , 2))"),"#N/A")</f>
        <v>#N/A</v>
      </c>
      <c r="N314" s="13" t="str">
        <f t="shared" ca="1" si="82"/>
        <v>No_Action</v>
      </c>
      <c r="O314" s="13" t="str">
        <f t="shared" ca="1" si="83"/>
        <v>No_Action</v>
      </c>
      <c r="P314" s="13" t="str">
        <f t="shared" ca="1" si="84"/>
        <v>No_Action</v>
      </c>
      <c r="Q314" s="13" t="str">
        <f t="shared" ca="1" si="85"/>
        <v>No_Action</v>
      </c>
      <c r="R314" s="15"/>
      <c r="S314" s="15" t="str">
        <f t="shared" ca="1" si="86"/>
        <v>NoNo</v>
      </c>
      <c r="T314" s="15"/>
      <c r="U314" s="15">
        <f t="shared" ca="1" si="87"/>
        <v>0</v>
      </c>
      <c r="V314" s="15">
        <f t="shared" ca="1" si="88"/>
        <v>0</v>
      </c>
      <c r="W314" s="15" t="str">
        <f t="shared" ca="1" si="89"/>
        <v>No_Action</v>
      </c>
      <c r="X314" s="15"/>
      <c r="Y314" s="15" t="str">
        <f t="shared" ca="1" si="90"/>
        <v>No_Action</v>
      </c>
      <c r="Z314" s="15">
        <f t="shared" ca="1" si="91"/>
        <v>0</v>
      </c>
      <c r="AA314" s="15">
        <f t="shared" ca="1" si="92"/>
        <v>0</v>
      </c>
      <c r="AB314" s="15"/>
      <c r="AC314" s="15" t="str">
        <f t="shared" ca="1" si="93"/>
        <v>NoNo</v>
      </c>
      <c r="AD314" s="15"/>
      <c r="AE314" s="15">
        <f t="shared" ca="1" si="94"/>
        <v>0</v>
      </c>
      <c r="AF314" s="16">
        <f t="shared" ca="1" si="95"/>
        <v>0</v>
      </c>
      <c r="AG314" s="16" t="str">
        <f t="shared" ca="1" si="96"/>
        <v>No_Action</v>
      </c>
      <c r="AH314" s="15"/>
      <c r="AI314" s="15" t="str">
        <f t="shared" ca="1" si="97"/>
        <v>No_Action</v>
      </c>
      <c r="AJ314" s="15">
        <f t="shared" ca="1" si="98"/>
        <v>0</v>
      </c>
      <c r="AK314" s="15">
        <f t="shared" ca="1" si="99"/>
        <v>0</v>
      </c>
    </row>
    <row r="315" spans="1:37" ht="14.5" customHeight="1" x14ac:dyDescent="0.35">
      <c r="A315" s="12" t="s">
        <v>331</v>
      </c>
      <c r="B315" s="13">
        <f ca="1">IFERROR(__xludf.DUMMYFUNCTION("GOOGLEFINANCE(""NSE:""&amp;A315,""PRICE"")"),1618.9)</f>
        <v>1618.9</v>
      </c>
      <c r="C315" s="13">
        <f ca="1">IFERROR(__xludf.DUMMYFUNCTION("GOOGLEFINANCE(""NSE:""&amp;A315,""PRICEOPEN"")"),1600)</f>
        <v>1600</v>
      </c>
      <c r="D315" s="13">
        <f ca="1">IFERROR(__xludf.DUMMYFUNCTION("GOOGLEFINANCE(""NSE:""&amp;A315,""HIGH"")"),1622.9)</f>
        <v>1622.9</v>
      </c>
      <c r="E315" s="13">
        <f ca="1">IFERROR(__xludf.DUMMYFUNCTION("GOOGLEFINANCE(""NSE:""&amp;A315,""LOW"")"),1583.05)</f>
        <v>1583.05</v>
      </c>
      <c r="F315" s="13">
        <f ca="1">IFERROR(__xludf.DUMMYFUNCTION("GOOGLEFINANCE(""NSE:""&amp;A315,""closeyest"")"),1605.45)</f>
        <v>1605.45</v>
      </c>
      <c r="G315" s="14">
        <f t="shared" ca="1" si="80"/>
        <v>1.1674593860028469E-2</v>
      </c>
      <c r="H315" s="13">
        <f ca="1">IFERROR(__xludf.DUMMYFUNCTION("GOOGLEFINANCE(""NSE:""&amp;A315,""VOLUME"")"),67302)</f>
        <v>67302</v>
      </c>
      <c r="I315" s="13" t="str">
        <f ca="1">IFERROR(__xludf.DUMMYFUNCTION("AVERAGE(index(GOOGLEFINANCE(""NSE:""&amp;$A315, ""volume"", today()-21, today()-1), , 2))"),"#N/A")</f>
        <v>#N/A</v>
      </c>
      <c r="J315" s="14" t="e">
        <f t="shared" ca="1" si="81"/>
        <v>#VALUE!</v>
      </c>
      <c r="K315" s="13" t="str">
        <f ca="1">IFERROR(__xludf.DUMMYFUNCTION("AVERAGE(index(GOOGLEFINANCE(""NSE:""&amp;$A315, ""close"", today()-6, today()-1), , 2))"),"#N/A")</f>
        <v>#N/A</v>
      </c>
      <c r="L315" s="13" t="str">
        <f ca="1">IFERROR(__xludf.DUMMYFUNCTION("AVERAGE(index(GOOGLEFINANCE(""NSE:""&amp;$A315, ""close"", today()-14, today()-1), , 2))"),"#N/A")</f>
        <v>#N/A</v>
      </c>
      <c r="M315" s="13" t="str">
        <f ca="1">IFERROR(__xludf.DUMMYFUNCTION("AVERAGE(index(GOOGLEFINANCE(""NSE:""&amp;$A315, ""close"", today()-22, today()-1), , 2))"),"#N/A")</f>
        <v>#N/A</v>
      </c>
      <c r="N315" s="13" t="str">
        <f t="shared" ca="1" si="82"/>
        <v>No_Action</v>
      </c>
      <c r="O315" s="13" t="str">
        <f t="shared" ca="1" si="83"/>
        <v>No_Action</v>
      </c>
      <c r="P315" s="13" t="str">
        <f t="shared" ca="1" si="84"/>
        <v>No_Action</v>
      </c>
      <c r="Q315" s="13" t="str">
        <f t="shared" ca="1" si="85"/>
        <v>No_Action</v>
      </c>
      <c r="R315" s="15"/>
      <c r="S315" s="15" t="str">
        <f t="shared" ca="1" si="86"/>
        <v>NoNo</v>
      </c>
      <c r="T315" s="15"/>
      <c r="U315" s="15">
        <f t="shared" ca="1" si="87"/>
        <v>0</v>
      </c>
      <c r="V315" s="15">
        <f t="shared" ca="1" si="88"/>
        <v>0</v>
      </c>
      <c r="W315" s="15" t="str">
        <f t="shared" ca="1" si="89"/>
        <v>No_Action</v>
      </c>
      <c r="X315" s="15"/>
      <c r="Y315" s="15" t="str">
        <f t="shared" ca="1" si="90"/>
        <v>No_Action</v>
      </c>
      <c r="Z315" s="15">
        <f t="shared" ca="1" si="91"/>
        <v>0</v>
      </c>
      <c r="AA315" s="15">
        <f t="shared" ca="1" si="92"/>
        <v>0</v>
      </c>
      <c r="AB315" s="15"/>
      <c r="AC315" s="15" t="str">
        <f t="shared" ca="1" si="93"/>
        <v>NoNo</v>
      </c>
      <c r="AD315" s="15"/>
      <c r="AE315" s="15">
        <f t="shared" ca="1" si="94"/>
        <v>0</v>
      </c>
      <c r="AF315" s="16">
        <f t="shared" ca="1" si="95"/>
        <v>0</v>
      </c>
      <c r="AG315" s="16" t="str">
        <f t="shared" ca="1" si="96"/>
        <v>No_Action</v>
      </c>
      <c r="AH315" s="15"/>
      <c r="AI315" s="15" t="str">
        <f t="shared" ca="1" si="97"/>
        <v>No_Action</v>
      </c>
      <c r="AJ315" s="15">
        <f t="shared" ca="1" si="98"/>
        <v>0</v>
      </c>
      <c r="AK315" s="15">
        <f t="shared" ca="1" si="99"/>
        <v>0</v>
      </c>
    </row>
    <row r="316" spans="1:37" ht="14.5" customHeight="1" x14ac:dyDescent="0.35">
      <c r="A316" s="12" t="s">
        <v>332</v>
      </c>
      <c r="B316" s="13">
        <f ca="1">IFERROR(__xludf.DUMMYFUNCTION("GOOGLEFINANCE(""NSE:""&amp;A316,""PRICE"")"),293.9)</f>
        <v>293.89999999999998</v>
      </c>
      <c r="C316" s="13">
        <f ca="1">IFERROR(__xludf.DUMMYFUNCTION("GOOGLEFINANCE(""NSE:""&amp;A316,""PRICEOPEN"")"),294.5)</f>
        <v>294.5</v>
      </c>
      <c r="D316" s="13">
        <f ca="1">IFERROR(__xludf.DUMMYFUNCTION("GOOGLEFINANCE(""NSE:""&amp;A316,""HIGH"")"),295.05)</f>
        <v>295.05</v>
      </c>
      <c r="E316" s="13">
        <f ca="1">IFERROR(__xludf.DUMMYFUNCTION("GOOGLEFINANCE(""NSE:""&amp;A316,""LOW"")"),289.65)</f>
        <v>289.64999999999998</v>
      </c>
      <c r="F316" s="13">
        <f ca="1">IFERROR(__xludf.DUMMYFUNCTION("GOOGLEFINANCE(""NSE:""&amp;A316,""closeyest"")"),293.05)</f>
        <v>293.05</v>
      </c>
      <c r="G316" s="14">
        <f t="shared" ca="1" si="80"/>
        <v>-2.0415107179313466E-3</v>
      </c>
      <c r="H316" s="13">
        <f ca="1">IFERROR(__xludf.DUMMYFUNCTION("GOOGLEFINANCE(""NSE:""&amp;A316,""VOLUME"")"),95173)</f>
        <v>95173</v>
      </c>
      <c r="I316" s="13" t="str">
        <f ca="1">IFERROR(__xludf.DUMMYFUNCTION("AVERAGE(index(GOOGLEFINANCE(""NSE:""&amp;$A316, ""volume"", today()-21, today()-1), , 2))"),"#N/A")</f>
        <v>#N/A</v>
      </c>
      <c r="J316" s="14" t="e">
        <f t="shared" ca="1" si="81"/>
        <v>#VALUE!</v>
      </c>
      <c r="K316" s="13" t="str">
        <f ca="1">IFERROR(__xludf.DUMMYFUNCTION("AVERAGE(index(GOOGLEFINANCE(""NSE:""&amp;$A316, ""close"", today()-6, today()-1), , 2))"),"#N/A")</f>
        <v>#N/A</v>
      </c>
      <c r="L316" s="13" t="str">
        <f ca="1">IFERROR(__xludf.DUMMYFUNCTION("AVERAGE(index(GOOGLEFINANCE(""NSE:""&amp;$A316, ""close"", today()-14, today()-1), , 2))"),"#N/A")</f>
        <v>#N/A</v>
      </c>
      <c r="M316" s="13" t="str">
        <f ca="1">IFERROR(__xludf.DUMMYFUNCTION("AVERAGE(index(GOOGLEFINANCE(""NSE:""&amp;$A316, ""close"", today()-22, today()-1), , 2))"),"#N/A")</f>
        <v>#N/A</v>
      </c>
      <c r="N316" s="13" t="str">
        <f t="shared" ca="1" si="82"/>
        <v>No_Action</v>
      </c>
      <c r="O316" s="13" t="str">
        <f t="shared" ca="1" si="83"/>
        <v>No_Action</v>
      </c>
      <c r="P316" s="13" t="str">
        <f t="shared" ca="1" si="84"/>
        <v>No_Action</v>
      </c>
      <c r="Q316" s="13" t="str">
        <f t="shared" ca="1" si="85"/>
        <v>No_Action</v>
      </c>
      <c r="R316" s="15"/>
      <c r="S316" s="15" t="str">
        <f t="shared" ca="1" si="86"/>
        <v>NoNo</v>
      </c>
      <c r="T316" s="15"/>
      <c r="U316" s="15">
        <f t="shared" ca="1" si="87"/>
        <v>0</v>
      </c>
      <c r="V316" s="15">
        <f t="shared" ca="1" si="88"/>
        <v>0</v>
      </c>
      <c r="W316" s="15" t="str">
        <f t="shared" ca="1" si="89"/>
        <v>No_Action</v>
      </c>
      <c r="X316" s="15"/>
      <c r="Y316" s="15" t="str">
        <f t="shared" ca="1" si="90"/>
        <v>No_Action</v>
      </c>
      <c r="Z316" s="15">
        <f t="shared" ca="1" si="91"/>
        <v>0</v>
      </c>
      <c r="AA316" s="15">
        <f t="shared" ca="1" si="92"/>
        <v>0</v>
      </c>
      <c r="AB316" s="15"/>
      <c r="AC316" s="15" t="str">
        <f t="shared" ca="1" si="93"/>
        <v>NoNo</v>
      </c>
      <c r="AD316" s="15"/>
      <c r="AE316" s="15">
        <f t="shared" ca="1" si="94"/>
        <v>0</v>
      </c>
      <c r="AF316" s="16">
        <f t="shared" ca="1" si="95"/>
        <v>0</v>
      </c>
      <c r="AG316" s="16" t="str">
        <f t="shared" ca="1" si="96"/>
        <v>No_Action</v>
      </c>
      <c r="AH316" s="15"/>
      <c r="AI316" s="15" t="str">
        <f t="shared" ca="1" si="97"/>
        <v>No_Action</v>
      </c>
      <c r="AJ316" s="15">
        <f t="shared" ca="1" si="98"/>
        <v>0</v>
      </c>
      <c r="AK316" s="15">
        <f t="shared" ca="1" si="99"/>
        <v>0</v>
      </c>
    </row>
    <row r="317" spans="1:37" ht="14.5" customHeight="1" x14ac:dyDescent="0.35">
      <c r="A317" s="12" t="s">
        <v>333</v>
      </c>
      <c r="B317" s="13">
        <f ca="1">IFERROR(__xludf.DUMMYFUNCTION("GOOGLEFINANCE(""NSE:""&amp;A317,""PRICE"")"),1010)</f>
        <v>1010</v>
      </c>
      <c r="C317" s="13">
        <f ca="1">IFERROR(__xludf.DUMMYFUNCTION("GOOGLEFINANCE(""NSE:""&amp;A317,""PRICEOPEN"")"),1015.85)</f>
        <v>1015.85</v>
      </c>
      <c r="D317" s="13">
        <f ca="1">IFERROR(__xludf.DUMMYFUNCTION("GOOGLEFINANCE(""NSE:""&amp;A317,""HIGH"")"),1020)</f>
        <v>1020</v>
      </c>
      <c r="E317" s="13">
        <f ca="1">IFERROR(__xludf.DUMMYFUNCTION("GOOGLEFINANCE(""NSE:""&amp;A317,""LOW"")"),994.35)</f>
        <v>994.35</v>
      </c>
      <c r="F317" s="13">
        <f ca="1">IFERROR(__xludf.DUMMYFUNCTION("GOOGLEFINANCE(""NSE:""&amp;A317,""closeyest"")"),1015.9)</f>
        <v>1015.9</v>
      </c>
      <c r="G317" s="14">
        <f t="shared" ca="1" si="80"/>
        <v>-5.7920792079208146E-3</v>
      </c>
      <c r="H317" s="13">
        <f ca="1">IFERROR(__xludf.DUMMYFUNCTION("GOOGLEFINANCE(""NSE:""&amp;A317,""VOLUME"")"),25381)</f>
        <v>25381</v>
      </c>
      <c r="I317" s="13" t="str">
        <f ca="1">IFERROR(__xludf.DUMMYFUNCTION("AVERAGE(index(GOOGLEFINANCE(""NSE:""&amp;$A317, ""volume"", today()-21, today()-1), , 2))"),"#N/A")</f>
        <v>#N/A</v>
      </c>
      <c r="J317" s="14" t="e">
        <f t="shared" ca="1" si="81"/>
        <v>#VALUE!</v>
      </c>
      <c r="K317" s="13" t="str">
        <f ca="1">IFERROR(__xludf.DUMMYFUNCTION("AVERAGE(index(GOOGLEFINANCE(""NSE:""&amp;$A317, ""close"", today()-6, today()-1), , 2))"),"#N/A")</f>
        <v>#N/A</v>
      </c>
      <c r="L317" s="13" t="str">
        <f ca="1">IFERROR(__xludf.DUMMYFUNCTION("AVERAGE(index(GOOGLEFINANCE(""NSE:""&amp;$A317, ""close"", today()-14, today()-1), , 2))"),"#N/A")</f>
        <v>#N/A</v>
      </c>
      <c r="M317" s="13" t="str">
        <f ca="1">IFERROR(__xludf.DUMMYFUNCTION("AVERAGE(index(GOOGLEFINANCE(""NSE:""&amp;$A317, ""close"", today()-22, today()-1), , 2))"),"#N/A")</f>
        <v>#N/A</v>
      </c>
      <c r="N317" s="13" t="str">
        <f t="shared" ca="1" si="82"/>
        <v>No_Action</v>
      </c>
      <c r="O317" s="13" t="str">
        <f t="shared" ca="1" si="83"/>
        <v>No_Action</v>
      </c>
      <c r="P317" s="13" t="str">
        <f t="shared" ca="1" si="84"/>
        <v>No_Action</v>
      </c>
      <c r="Q317" s="13" t="str">
        <f t="shared" ca="1" si="85"/>
        <v>No_Action</v>
      </c>
      <c r="R317" s="15"/>
      <c r="S317" s="15" t="str">
        <f t="shared" ca="1" si="86"/>
        <v>NoNo</v>
      </c>
      <c r="T317" s="15"/>
      <c r="U317" s="15">
        <f t="shared" ca="1" si="87"/>
        <v>0</v>
      </c>
      <c r="V317" s="15">
        <f t="shared" ca="1" si="88"/>
        <v>0</v>
      </c>
      <c r="W317" s="15" t="str">
        <f t="shared" ca="1" si="89"/>
        <v>No_Action</v>
      </c>
      <c r="X317" s="15"/>
      <c r="Y317" s="15" t="str">
        <f t="shared" ca="1" si="90"/>
        <v>No_Action</v>
      </c>
      <c r="Z317" s="15">
        <f t="shared" ca="1" si="91"/>
        <v>0</v>
      </c>
      <c r="AA317" s="15">
        <f t="shared" ca="1" si="92"/>
        <v>0</v>
      </c>
      <c r="AB317" s="15"/>
      <c r="AC317" s="15" t="str">
        <f t="shared" ca="1" si="93"/>
        <v>NoNo</v>
      </c>
      <c r="AD317" s="15"/>
      <c r="AE317" s="15">
        <f t="shared" ca="1" si="94"/>
        <v>0</v>
      </c>
      <c r="AF317" s="16">
        <f t="shared" ca="1" si="95"/>
        <v>0</v>
      </c>
      <c r="AG317" s="16" t="str">
        <f t="shared" ca="1" si="96"/>
        <v>No_Action</v>
      </c>
      <c r="AH317" s="15"/>
      <c r="AI317" s="15" t="str">
        <f t="shared" ca="1" si="97"/>
        <v>No_Action</v>
      </c>
      <c r="AJ317" s="15">
        <f t="shared" ca="1" si="98"/>
        <v>0</v>
      </c>
      <c r="AK317" s="15">
        <f t="shared" ca="1" si="99"/>
        <v>0</v>
      </c>
    </row>
    <row r="318" spans="1:37" ht="14.5" customHeight="1" x14ac:dyDescent="0.35">
      <c r="A318" s="12" t="s">
        <v>334</v>
      </c>
      <c r="B318" s="13">
        <f ca="1">IFERROR(__xludf.DUMMYFUNCTION("GOOGLEFINANCE(""NSE:""&amp;A318,""PRICE"")"),421.9)</f>
        <v>421.9</v>
      </c>
      <c r="C318" s="13">
        <f ca="1">IFERROR(__xludf.DUMMYFUNCTION("GOOGLEFINANCE(""NSE:""&amp;A318,""PRICEOPEN"")"),427.9)</f>
        <v>427.9</v>
      </c>
      <c r="D318" s="13">
        <f ca="1">IFERROR(__xludf.DUMMYFUNCTION("GOOGLEFINANCE(""NSE:""&amp;A318,""HIGH"")"),435)</f>
        <v>435</v>
      </c>
      <c r="E318" s="13">
        <f ca="1">IFERROR(__xludf.DUMMYFUNCTION("GOOGLEFINANCE(""NSE:""&amp;A318,""LOW"")"),412.55)</f>
        <v>412.55</v>
      </c>
      <c r="F318" s="13">
        <f ca="1">IFERROR(__xludf.DUMMYFUNCTION("GOOGLEFINANCE(""NSE:""&amp;A318,""closeyest"")"),430.75)</f>
        <v>430.75</v>
      </c>
      <c r="G318" s="14">
        <f t="shared" ca="1" si="80"/>
        <v>-1.422137947380896E-2</v>
      </c>
      <c r="H318" s="13">
        <f ca="1">IFERROR(__xludf.DUMMYFUNCTION("GOOGLEFINANCE(""NSE:""&amp;A318,""VOLUME"")"),1219686)</f>
        <v>1219686</v>
      </c>
      <c r="I318" s="13" t="str">
        <f ca="1">IFERROR(__xludf.DUMMYFUNCTION("AVERAGE(index(GOOGLEFINANCE(""NSE:""&amp;$A318, ""volume"", today()-21, today()-1), , 2))"),"#N/A")</f>
        <v>#N/A</v>
      </c>
      <c r="J318" s="14" t="e">
        <f t="shared" ca="1" si="81"/>
        <v>#VALUE!</v>
      </c>
      <c r="K318" s="13" t="str">
        <f ca="1">IFERROR(__xludf.DUMMYFUNCTION("AVERAGE(index(GOOGLEFINANCE(""NSE:""&amp;$A318, ""close"", today()-6, today()-1), , 2))"),"#N/A")</f>
        <v>#N/A</v>
      </c>
      <c r="L318" s="13" t="str">
        <f ca="1">IFERROR(__xludf.DUMMYFUNCTION("AVERAGE(index(GOOGLEFINANCE(""NSE:""&amp;$A318, ""close"", today()-14, today()-1), , 2))"),"#N/A")</f>
        <v>#N/A</v>
      </c>
      <c r="M318" s="13" t="str">
        <f ca="1">IFERROR(__xludf.DUMMYFUNCTION("AVERAGE(index(GOOGLEFINANCE(""NSE:""&amp;$A318, ""close"", today()-22, today()-1), , 2))"),"#N/A")</f>
        <v>#N/A</v>
      </c>
      <c r="N318" s="13" t="str">
        <f t="shared" ca="1" si="82"/>
        <v>No_Action</v>
      </c>
      <c r="O318" s="13" t="str">
        <f t="shared" ca="1" si="83"/>
        <v>No_Action</v>
      </c>
      <c r="P318" s="13" t="str">
        <f t="shared" ca="1" si="84"/>
        <v>No_Action</v>
      </c>
      <c r="Q318" s="13" t="str">
        <f t="shared" ca="1" si="85"/>
        <v>No_Action</v>
      </c>
      <c r="R318" s="15"/>
      <c r="S318" s="15" t="str">
        <f t="shared" ca="1" si="86"/>
        <v>NoNo</v>
      </c>
      <c r="T318" s="15"/>
      <c r="U318" s="15">
        <f t="shared" ca="1" si="87"/>
        <v>0</v>
      </c>
      <c r="V318" s="15">
        <f t="shared" ca="1" si="88"/>
        <v>0</v>
      </c>
      <c r="W318" s="15" t="str">
        <f t="shared" ca="1" si="89"/>
        <v>No_Action</v>
      </c>
      <c r="X318" s="15"/>
      <c r="Y318" s="15" t="str">
        <f t="shared" ca="1" si="90"/>
        <v>No_Action</v>
      </c>
      <c r="Z318" s="15">
        <f t="shared" ca="1" si="91"/>
        <v>0</v>
      </c>
      <c r="AA318" s="15">
        <f t="shared" ca="1" si="92"/>
        <v>0</v>
      </c>
      <c r="AB318" s="15"/>
      <c r="AC318" s="15" t="str">
        <f t="shared" ca="1" si="93"/>
        <v>NoNo</v>
      </c>
      <c r="AD318" s="15"/>
      <c r="AE318" s="15">
        <f t="shared" ca="1" si="94"/>
        <v>0</v>
      </c>
      <c r="AF318" s="16">
        <f t="shared" ca="1" si="95"/>
        <v>0</v>
      </c>
      <c r="AG318" s="16" t="str">
        <f t="shared" ca="1" si="96"/>
        <v>No_Action</v>
      </c>
      <c r="AH318" s="15"/>
      <c r="AI318" s="15" t="str">
        <f t="shared" ca="1" si="97"/>
        <v>No_Action</v>
      </c>
      <c r="AJ318" s="15">
        <f t="shared" ca="1" si="98"/>
        <v>0</v>
      </c>
      <c r="AK318" s="15">
        <f t="shared" ca="1" si="99"/>
        <v>0</v>
      </c>
    </row>
    <row r="319" spans="1:37" ht="14.5" customHeight="1" x14ac:dyDescent="0.35">
      <c r="A319" s="12" t="s">
        <v>335</v>
      </c>
      <c r="B319" s="13">
        <f ca="1">IFERROR(__xludf.DUMMYFUNCTION("GOOGLEFINANCE(""NSE:""&amp;A319,""PRICE"")"),489)</f>
        <v>489</v>
      </c>
      <c r="C319" s="13">
        <f ca="1">IFERROR(__xludf.DUMMYFUNCTION("GOOGLEFINANCE(""NSE:""&amp;A319,""PRICEOPEN"")"),486)</f>
        <v>486</v>
      </c>
      <c r="D319" s="13">
        <f ca="1">IFERROR(__xludf.DUMMYFUNCTION("GOOGLEFINANCE(""NSE:""&amp;A319,""HIGH"")"),495.2)</f>
        <v>495.2</v>
      </c>
      <c r="E319" s="13">
        <f ca="1">IFERROR(__xludf.DUMMYFUNCTION("GOOGLEFINANCE(""NSE:""&amp;A319,""LOW"")"),480.85)</f>
        <v>480.85</v>
      </c>
      <c r="F319" s="13">
        <f ca="1">IFERROR(__xludf.DUMMYFUNCTION("GOOGLEFINANCE(""NSE:""&amp;A319,""closeyest"")"),480.45)</f>
        <v>480.45</v>
      </c>
      <c r="G319" s="14">
        <f t="shared" ca="1" si="80"/>
        <v>6.1349693251533744E-3</v>
      </c>
      <c r="H319" s="13">
        <f ca="1">IFERROR(__xludf.DUMMYFUNCTION("GOOGLEFINANCE(""NSE:""&amp;A319,""VOLUME"")"),1523221)</f>
        <v>1523221</v>
      </c>
      <c r="I319" s="13" t="str">
        <f ca="1">IFERROR(__xludf.DUMMYFUNCTION("AVERAGE(index(GOOGLEFINANCE(""NSE:""&amp;$A319, ""volume"", today()-21, today()-1), , 2))"),"#N/A")</f>
        <v>#N/A</v>
      </c>
      <c r="J319" s="14" t="e">
        <f t="shared" ca="1" si="81"/>
        <v>#VALUE!</v>
      </c>
      <c r="K319" s="13" t="str">
        <f ca="1">IFERROR(__xludf.DUMMYFUNCTION("AVERAGE(index(GOOGLEFINANCE(""NSE:""&amp;$A319, ""close"", today()-6, today()-1), , 2))"),"#N/A")</f>
        <v>#N/A</v>
      </c>
      <c r="L319" s="13" t="str">
        <f ca="1">IFERROR(__xludf.DUMMYFUNCTION("AVERAGE(index(GOOGLEFINANCE(""NSE:""&amp;$A319, ""close"", today()-14, today()-1), , 2))"),"#N/A")</f>
        <v>#N/A</v>
      </c>
      <c r="M319" s="13" t="str">
        <f ca="1">IFERROR(__xludf.DUMMYFUNCTION("AVERAGE(index(GOOGLEFINANCE(""NSE:""&amp;$A319, ""close"", today()-22, today()-1), , 2))"),"#N/A")</f>
        <v>#N/A</v>
      </c>
      <c r="N319" s="13" t="str">
        <f t="shared" ca="1" si="82"/>
        <v>No_Action</v>
      </c>
      <c r="O319" s="13" t="str">
        <f t="shared" ca="1" si="83"/>
        <v>No_Action</v>
      </c>
      <c r="P319" s="13" t="str">
        <f t="shared" ca="1" si="84"/>
        <v>No_Action</v>
      </c>
      <c r="Q319" s="13" t="str">
        <f t="shared" ca="1" si="85"/>
        <v>No_Action</v>
      </c>
      <c r="R319" s="15"/>
      <c r="S319" s="15" t="str">
        <f t="shared" ca="1" si="86"/>
        <v>NoNo</v>
      </c>
      <c r="T319" s="15"/>
      <c r="U319" s="15">
        <f t="shared" ca="1" si="87"/>
        <v>0</v>
      </c>
      <c r="V319" s="15">
        <f t="shared" ca="1" si="88"/>
        <v>0</v>
      </c>
      <c r="W319" s="15" t="str">
        <f t="shared" ca="1" si="89"/>
        <v>No_Action</v>
      </c>
      <c r="X319" s="15"/>
      <c r="Y319" s="15" t="str">
        <f t="shared" ca="1" si="90"/>
        <v>No_Action</v>
      </c>
      <c r="Z319" s="15">
        <f t="shared" ca="1" si="91"/>
        <v>0</v>
      </c>
      <c r="AA319" s="15">
        <f t="shared" ca="1" si="92"/>
        <v>0</v>
      </c>
      <c r="AB319" s="15"/>
      <c r="AC319" s="15" t="str">
        <f t="shared" ca="1" si="93"/>
        <v>NoNo</v>
      </c>
      <c r="AD319" s="15"/>
      <c r="AE319" s="15">
        <f t="shared" ca="1" si="94"/>
        <v>0</v>
      </c>
      <c r="AF319" s="16">
        <f t="shared" ca="1" si="95"/>
        <v>0</v>
      </c>
      <c r="AG319" s="16" t="str">
        <f t="shared" ca="1" si="96"/>
        <v>No_Action</v>
      </c>
      <c r="AH319" s="15"/>
      <c r="AI319" s="15" t="str">
        <f t="shared" ca="1" si="97"/>
        <v>No_Action</v>
      </c>
      <c r="AJ319" s="15">
        <f t="shared" ca="1" si="98"/>
        <v>0</v>
      </c>
      <c r="AK319" s="15">
        <f t="shared" ca="1" si="99"/>
        <v>0</v>
      </c>
    </row>
    <row r="320" spans="1:37" ht="14.5" customHeight="1" x14ac:dyDescent="0.35">
      <c r="A320" s="12" t="s">
        <v>336</v>
      </c>
      <c r="B320" s="13">
        <f ca="1">IFERROR(__xludf.DUMMYFUNCTION("GOOGLEFINANCE(""NSE:""&amp;A320,""PRICE"")"),3344)</f>
        <v>3344</v>
      </c>
      <c r="C320" s="13">
        <f ca="1">IFERROR(__xludf.DUMMYFUNCTION("GOOGLEFINANCE(""NSE:""&amp;A320,""PRICEOPEN"")"),3342.15)</f>
        <v>3342.15</v>
      </c>
      <c r="D320" s="13">
        <f ca="1">IFERROR(__xludf.DUMMYFUNCTION("GOOGLEFINANCE(""NSE:""&amp;A320,""HIGH"")"),3369.5)</f>
        <v>3369.5</v>
      </c>
      <c r="E320" s="13">
        <f ca="1">IFERROR(__xludf.DUMMYFUNCTION("GOOGLEFINANCE(""NSE:""&amp;A320,""LOW"")"),3319.45)</f>
        <v>3319.45</v>
      </c>
      <c r="F320" s="13">
        <f ca="1">IFERROR(__xludf.DUMMYFUNCTION("GOOGLEFINANCE(""NSE:""&amp;A320,""closeyest"")"),3332.5)</f>
        <v>3332.5</v>
      </c>
      <c r="G320" s="14">
        <f t="shared" ca="1" si="80"/>
        <v>5.5322966507174315E-4</v>
      </c>
      <c r="H320" s="13">
        <f ca="1">IFERROR(__xludf.DUMMYFUNCTION("GOOGLEFINANCE(""NSE:""&amp;A320,""VOLUME"")"),251984)</f>
        <v>251984</v>
      </c>
      <c r="I320" s="13" t="str">
        <f ca="1">IFERROR(__xludf.DUMMYFUNCTION("AVERAGE(index(GOOGLEFINANCE(""NSE:""&amp;$A320, ""volume"", today()-21, today()-1), , 2))"),"#N/A")</f>
        <v>#N/A</v>
      </c>
      <c r="J320" s="14" t="e">
        <f t="shared" ca="1" si="81"/>
        <v>#VALUE!</v>
      </c>
      <c r="K320" s="13" t="str">
        <f ca="1">IFERROR(__xludf.DUMMYFUNCTION("AVERAGE(index(GOOGLEFINANCE(""NSE:""&amp;$A320, ""close"", today()-6, today()-1), , 2))"),"#N/A")</f>
        <v>#N/A</v>
      </c>
      <c r="L320" s="13" t="str">
        <f ca="1">IFERROR(__xludf.DUMMYFUNCTION("AVERAGE(index(GOOGLEFINANCE(""NSE:""&amp;$A320, ""close"", today()-14, today()-1), , 2))"),"#N/A")</f>
        <v>#N/A</v>
      </c>
      <c r="M320" s="13" t="str">
        <f ca="1">IFERROR(__xludf.DUMMYFUNCTION("AVERAGE(index(GOOGLEFINANCE(""NSE:""&amp;$A320, ""close"", today()-22, today()-1), , 2))"),"#N/A")</f>
        <v>#N/A</v>
      </c>
      <c r="N320" s="13" t="str">
        <f t="shared" ca="1" si="82"/>
        <v>No_Action</v>
      </c>
      <c r="O320" s="13" t="str">
        <f t="shared" ca="1" si="83"/>
        <v>No_Action</v>
      </c>
      <c r="P320" s="13" t="str">
        <f t="shared" ca="1" si="84"/>
        <v>No_Action</v>
      </c>
      <c r="Q320" s="13" t="str">
        <f t="shared" ca="1" si="85"/>
        <v>No_Action</v>
      </c>
      <c r="R320" s="15"/>
      <c r="S320" s="15" t="str">
        <f t="shared" ca="1" si="86"/>
        <v>NoNo</v>
      </c>
      <c r="T320" s="15"/>
      <c r="U320" s="15">
        <f t="shared" ca="1" si="87"/>
        <v>0</v>
      </c>
      <c r="V320" s="15">
        <f t="shared" ca="1" si="88"/>
        <v>0</v>
      </c>
      <c r="W320" s="15" t="str">
        <f t="shared" ca="1" si="89"/>
        <v>No_Action</v>
      </c>
      <c r="X320" s="15"/>
      <c r="Y320" s="15" t="str">
        <f t="shared" ca="1" si="90"/>
        <v>No_Action</v>
      </c>
      <c r="Z320" s="15">
        <f t="shared" ca="1" si="91"/>
        <v>0</v>
      </c>
      <c r="AA320" s="15">
        <f t="shared" ca="1" si="92"/>
        <v>0</v>
      </c>
      <c r="AB320" s="15"/>
      <c r="AC320" s="15" t="str">
        <f t="shared" ca="1" si="93"/>
        <v>NoNo</v>
      </c>
      <c r="AD320" s="15"/>
      <c r="AE320" s="15">
        <f t="shared" ca="1" si="94"/>
        <v>0</v>
      </c>
      <c r="AF320" s="16">
        <f t="shared" ca="1" si="95"/>
        <v>0</v>
      </c>
      <c r="AG320" s="16" t="str">
        <f t="shared" ca="1" si="96"/>
        <v>No_Action</v>
      </c>
      <c r="AH320" s="15"/>
      <c r="AI320" s="15" t="str">
        <f t="shared" ca="1" si="97"/>
        <v>No_Action</v>
      </c>
      <c r="AJ320" s="15">
        <f t="shared" ca="1" si="98"/>
        <v>0</v>
      </c>
      <c r="AK320" s="15">
        <f t="shared" ca="1" si="99"/>
        <v>0</v>
      </c>
    </row>
    <row r="321" spans="1:37" ht="14.5" customHeight="1" x14ac:dyDescent="0.35">
      <c r="A321" s="12" t="s">
        <v>337</v>
      </c>
      <c r="B321" s="13">
        <f ca="1">IFERROR(__xludf.DUMMYFUNCTION("GOOGLEFINANCE(""NSE:""&amp;A321,""PRICE"")"),1649)</f>
        <v>1649</v>
      </c>
      <c r="C321" s="13">
        <f ca="1">IFERROR(__xludf.DUMMYFUNCTION("GOOGLEFINANCE(""NSE:""&amp;A321,""PRICEOPEN"")"),1655)</f>
        <v>1655</v>
      </c>
      <c r="D321" s="13">
        <f ca="1">IFERROR(__xludf.DUMMYFUNCTION("GOOGLEFINANCE(""NSE:""&amp;A321,""HIGH"")"),1679)</f>
        <v>1679</v>
      </c>
      <c r="E321" s="13">
        <f ca="1">IFERROR(__xludf.DUMMYFUNCTION("GOOGLEFINANCE(""NSE:""&amp;A321,""LOW"")"),1628.85)</f>
        <v>1628.85</v>
      </c>
      <c r="F321" s="13">
        <f ca="1">IFERROR(__xludf.DUMMYFUNCTION("GOOGLEFINANCE(""NSE:""&amp;A321,""closeyest"")"),1648.65)</f>
        <v>1648.65</v>
      </c>
      <c r="G321" s="14">
        <f t="shared" ca="1" si="80"/>
        <v>-3.6385688295936932E-3</v>
      </c>
      <c r="H321" s="13">
        <f ca="1">IFERROR(__xludf.DUMMYFUNCTION("GOOGLEFINANCE(""NSE:""&amp;A321,""VOLUME"")"),836072)</f>
        <v>836072</v>
      </c>
      <c r="I321" s="13" t="str">
        <f ca="1">IFERROR(__xludf.DUMMYFUNCTION("AVERAGE(index(GOOGLEFINANCE(""NSE:""&amp;$A321, ""volume"", today()-21, today()-1), , 2))"),"#N/A")</f>
        <v>#N/A</v>
      </c>
      <c r="J321" s="14" t="e">
        <f t="shared" ca="1" si="81"/>
        <v>#VALUE!</v>
      </c>
      <c r="K321" s="13" t="str">
        <f ca="1">IFERROR(__xludf.DUMMYFUNCTION("AVERAGE(index(GOOGLEFINANCE(""NSE:""&amp;$A321, ""close"", today()-6, today()-1), , 2))"),"#N/A")</f>
        <v>#N/A</v>
      </c>
      <c r="L321" s="13" t="str">
        <f ca="1">IFERROR(__xludf.DUMMYFUNCTION("AVERAGE(index(GOOGLEFINANCE(""NSE:""&amp;$A321, ""close"", today()-14, today()-1), , 2))"),"#N/A")</f>
        <v>#N/A</v>
      </c>
      <c r="M321" s="13" t="str">
        <f ca="1">IFERROR(__xludf.DUMMYFUNCTION("AVERAGE(index(GOOGLEFINANCE(""NSE:""&amp;$A321, ""close"", today()-22, today()-1), , 2))"),"#N/A")</f>
        <v>#N/A</v>
      </c>
      <c r="N321" s="13" t="str">
        <f t="shared" ca="1" si="82"/>
        <v>No_Action</v>
      </c>
      <c r="O321" s="13" t="str">
        <f t="shared" ca="1" si="83"/>
        <v>No_Action</v>
      </c>
      <c r="P321" s="13" t="str">
        <f t="shared" ca="1" si="84"/>
        <v>No_Action</v>
      </c>
      <c r="Q321" s="13" t="str">
        <f t="shared" ca="1" si="85"/>
        <v>No_Action</v>
      </c>
      <c r="R321" s="15"/>
      <c r="S321" s="15" t="str">
        <f t="shared" ca="1" si="86"/>
        <v>NoNo</v>
      </c>
      <c r="T321" s="15"/>
      <c r="U321" s="15">
        <f t="shared" ca="1" si="87"/>
        <v>0</v>
      </c>
      <c r="V321" s="15">
        <f t="shared" ca="1" si="88"/>
        <v>0</v>
      </c>
      <c r="W321" s="15" t="str">
        <f t="shared" ca="1" si="89"/>
        <v>No_Action</v>
      </c>
      <c r="X321" s="15"/>
      <c r="Y321" s="15" t="str">
        <f t="shared" ca="1" si="90"/>
        <v>No_Action</v>
      </c>
      <c r="Z321" s="15">
        <f t="shared" ca="1" si="91"/>
        <v>0</v>
      </c>
      <c r="AA321" s="15">
        <f t="shared" ca="1" si="92"/>
        <v>0</v>
      </c>
      <c r="AB321" s="15"/>
      <c r="AC321" s="15" t="str">
        <f t="shared" ca="1" si="93"/>
        <v>NoNo</v>
      </c>
      <c r="AD321" s="15"/>
      <c r="AE321" s="15">
        <f t="shared" ca="1" si="94"/>
        <v>0</v>
      </c>
      <c r="AF321" s="16">
        <f t="shared" ca="1" si="95"/>
        <v>0</v>
      </c>
      <c r="AG321" s="16" t="str">
        <f t="shared" ca="1" si="96"/>
        <v>No_Action</v>
      </c>
      <c r="AH321" s="15"/>
      <c r="AI321" s="15" t="str">
        <f t="shared" ca="1" si="97"/>
        <v>No_Action</v>
      </c>
      <c r="AJ321" s="15">
        <f t="shared" ca="1" si="98"/>
        <v>0</v>
      </c>
      <c r="AK321" s="15">
        <f t="shared" ca="1" si="99"/>
        <v>0</v>
      </c>
    </row>
    <row r="322" spans="1:37" ht="14.5" customHeight="1" x14ac:dyDescent="0.35">
      <c r="A322" s="12" t="s">
        <v>338</v>
      </c>
      <c r="B322" s="13">
        <f ca="1">IFERROR(__xludf.DUMMYFUNCTION("GOOGLEFINANCE(""NSE:""&amp;A322,""PRICE"")"),437.05)</f>
        <v>437.05</v>
      </c>
      <c r="C322" s="13">
        <f ca="1">IFERROR(__xludf.DUMMYFUNCTION("GOOGLEFINANCE(""NSE:""&amp;A322,""PRICEOPEN"")"),449)</f>
        <v>449</v>
      </c>
      <c r="D322" s="13">
        <f ca="1">IFERROR(__xludf.DUMMYFUNCTION("GOOGLEFINANCE(""NSE:""&amp;A322,""HIGH"")"),450.05)</f>
        <v>450.05</v>
      </c>
      <c r="E322" s="13">
        <f ca="1">IFERROR(__xludf.DUMMYFUNCTION("GOOGLEFINANCE(""NSE:""&amp;A322,""LOW"")"),431.55)</f>
        <v>431.55</v>
      </c>
      <c r="F322" s="13">
        <f ca="1">IFERROR(__xludf.DUMMYFUNCTION("GOOGLEFINANCE(""NSE:""&amp;A322,""closeyest"")"),448.95)</f>
        <v>448.95</v>
      </c>
      <c r="G322" s="14">
        <f t="shared" ref="G322:G345" ca="1" si="100">(B322-C322)/B322</f>
        <v>-2.7342409335316297E-2</v>
      </c>
      <c r="H322" s="13">
        <f ca="1">IFERROR(__xludf.DUMMYFUNCTION("GOOGLEFINANCE(""NSE:""&amp;A322,""VOLUME"")"),397267)</f>
        <v>397267</v>
      </c>
      <c r="I322" s="13" t="str">
        <f ca="1">IFERROR(__xludf.DUMMYFUNCTION("AVERAGE(index(GOOGLEFINANCE(""NSE:""&amp;$A322, ""volume"", today()-21, today()-1), , 2))"),"#N/A")</f>
        <v>#N/A</v>
      </c>
      <c r="J322" s="14" t="e">
        <f t="shared" ref="J322:J385" ca="1" si="101">(H322-I322)/I322</f>
        <v>#VALUE!</v>
      </c>
      <c r="K322" s="13" t="str">
        <f ca="1">IFERROR(__xludf.DUMMYFUNCTION("AVERAGE(index(GOOGLEFINANCE(""NSE:""&amp;$A322, ""close"", today()-6, today()-1), , 2))"),"#N/A")</f>
        <v>#N/A</v>
      </c>
      <c r="L322" s="13" t="str">
        <f ca="1">IFERROR(__xludf.DUMMYFUNCTION("AVERAGE(index(GOOGLEFINANCE(""NSE:""&amp;$A322, ""close"", today()-14, today()-1), , 2))"),"#N/A")</f>
        <v>#N/A</v>
      </c>
      <c r="M322" s="13" t="str">
        <f ca="1">IFERROR(__xludf.DUMMYFUNCTION("AVERAGE(index(GOOGLEFINANCE(""NSE:""&amp;$A322, ""close"", today()-22, today()-1), , 2))"),"#N/A")</f>
        <v>#N/A</v>
      </c>
      <c r="N322" s="13" t="str">
        <f t="shared" ref="N322:N345" ca="1" si="102">AG322</f>
        <v>No_Action</v>
      </c>
      <c r="O322" s="13" t="str">
        <f t="shared" ref="O322:O345" ca="1" si="103">AI322</f>
        <v>No_Action</v>
      </c>
      <c r="P322" s="13" t="str">
        <f t="shared" ref="P322:P345" ca="1" si="104">W322</f>
        <v>No_Action</v>
      </c>
      <c r="Q322" s="13" t="str">
        <f t="shared" ref="Q322:Q345" ca="1" si="105">Y322</f>
        <v>No_Action</v>
      </c>
      <c r="R322" s="15"/>
      <c r="S322" s="15" t="str">
        <f t="shared" ref="S322:S345" ca="1" si="106">LEFT(W322,2)&amp;LEFT(Y322,2)</f>
        <v>NoNo</v>
      </c>
      <c r="T322" s="15"/>
      <c r="U322" s="15">
        <f t="shared" ref="U322:U345" ca="1" si="107">IF(K322&lt;L322,1,0)</f>
        <v>0</v>
      </c>
      <c r="V322" s="15">
        <f t="shared" ref="V322:V345" ca="1" si="108">IF(H322&gt;I322,1,0)</f>
        <v>0</v>
      </c>
      <c r="W322" s="15" t="str">
        <f t="shared" ref="W322:W385" ca="1" si="109">IF(SUM(U322:V322)=2,"Anticipatory_Sell","No_Action")</f>
        <v>No_Action</v>
      </c>
      <c r="X322" s="15"/>
      <c r="Y322" s="15" t="str">
        <f t="shared" ref="Y322:Y385" ca="1" si="110">IF(SUM(Z322:AA322)=2,"Confirm_Sell","No_Action")</f>
        <v>No_Action</v>
      </c>
      <c r="Z322" s="15">
        <f t="shared" ref="Z322:Z345" ca="1" si="111">IF(H322&gt;I322,1,0)</f>
        <v>0</v>
      </c>
      <c r="AA322" s="15">
        <f t="shared" ref="AA322:AA345" ca="1" si="112">IF(K322&lt;M322,1,0)</f>
        <v>0</v>
      </c>
      <c r="AB322" s="15"/>
      <c r="AC322" s="15" t="str">
        <f t="shared" ref="AC322:AC345" ca="1" si="113">LEFT(AG322,2)&amp;LEFT(AI322,2)</f>
        <v>NoNo</v>
      </c>
      <c r="AD322" s="15"/>
      <c r="AE322" s="15">
        <f t="shared" ref="AE322:AE345" ca="1" si="114">IF(K322&gt;L322,1,0)</f>
        <v>0</v>
      </c>
      <c r="AF322" s="16">
        <f t="shared" ref="AF322:AF345" ca="1" si="115">IF(H322&gt;I322,1,0)</f>
        <v>0</v>
      </c>
      <c r="AG322" s="16" t="str">
        <f t="shared" ref="AG322:AG385" ca="1" si="116">IF(SUM(AE322:AF322)=2,"Anticipatory_Buy","No_Action")</f>
        <v>No_Action</v>
      </c>
      <c r="AH322" s="15"/>
      <c r="AI322" s="15" t="str">
        <f t="shared" ref="AI322:AI385" ca="1" si="117">IF(SUM(AJ322:AK322)=2,"Confirm_Buy","No_Action")</f>
        <v>No_Action</v>
      </c>
      <c r="AJ322" s="15">
        <f t="shared" ref="AJ322:AJ345" ca="1" si="118">IF(H322&gt;I322,1,0)</f>
        <v>0</v>
      </c>
      <c r="AK322" s="15">
        <f t="shared" ref="AK322:AK345" ca="1" si="119">IF(K322&gt;M322,1,0)</f>
        <v>0</v>
      </c>
    </row>
    <row r="323" spans="1:37" ht="14.5" customHeight="1" x14ac:dyDescent="0.35">
      <c r="A323" s="12" t="s">
        <v>339</v>
      </c>
      <c r="B323" s="13">
        <f ca="1">IFERROR(__xludf.DUMMYFUNCTION("GOOGLEFINANCE(""NSE:""&amp;A323,""PRICE"")"),896.55)</f>
        <v>896.55</v>
      </c>
      <c r="C323" s="13">
        <f ca="1">IFERROR(__xludf.DUMMYFUNCTION("GOOGLEFINANCE(""NSE:""&amp;A323,""PRICEOPEN"")"),879.95)</f>
        <v>879.95</v>
      </c>
      <c r="D323" s="13">
        <f ca="1">IFERROR(__xludf.DUMMYFUNCTION("GOOGLEFINANCE(""NSE:""&amp;A323,""HIGH"")"),905)</f>
        <v>905</v>
      </c>
      <c r="E323" s="13">
        <f ca="1">IFERROR(__xludf.DUMMYFUNCTION("GOOGLEFINANCE(""NSE:""&amp;A323,""LOW"")"),878.2)</f>
        <v>878.2</v>
      </c>
      <c r="F323" s="13">
        <f ca="1">IFERROR(__xludf.DUMMYFUNCTION("GOOGLEFINANCE(""NSE:""&amp;A323,""closeyest"")"),879.3)</f>
        <v>879.3</v>
      </c>
      <c r="G323" s="14">
        <f t="shared" ca="1" si="100"/>
        <v>1.8515420221961863E-2</v>
      </c>
      <c r="H323" s="13">
        <f ca="1">IFERROR(__xludf.DUMMYFUNCTION("GOOGLEFINANCE(""NSE:""&amp;A323,""VOLUME"")"),37351)</f>
        <v>37351</v>
      </c>
      <c r="I323" s="13" t="str">
        <f ca="1">IFERROR(__xludf.DUMMYFUNCTION("AVERAGE(index(GOOGLEFINANCE(""NSE:""&amp;$A323, ""volume"", today()-21, today()-1), , 2))"),"#N/A")</f>
        <v>#N/A</v>
      </c>
      <c r="J323" s="14" t="e">
        <f t="shared" ca="1" si="101"/>
        <v>#VALUE!</v>
      </c>
      <c r="K323" s="13" t="str">
        <f ca="1">IFERROR(__xludf.DUMMYFUNCTION("AVERAGE(index(GOOGLEFINANCE(""NSE:""&amp;$A323, ""close"", today()-6, today()-1), , 2))"),"#N/A")</f>
        <v>#N/A</v>
      </c>
      <c r="L323" s="13" t="str">
        <f ca="1">IFERROR(__xludf.DUMMYFUNCTION("AVERAGE(index(GOOGLEFINANCE(""NSE:""&amp;$A323, ""close"", today()-14, today()-1), , 2))"),"#N/A")</f>
        <v>#N/A</v>
      </c>
      <c r="M323" s="13" t="str">
        <f ca="1">IFERROR(__xludf.DUMMYFUNCTION("AVERAGE(index(GOOGLEFINANCE(""NSE:""&amp;$A323, ""close"", today()-22, today()-1), , 2))"),"#N/A")</f>
        <v>#N/A</v>
      </c>
      <c r="N323" s="13" t="str">
        <f t="shared" ca="1" si="102"/>
        <v>No_Action</v>
      </c>
      <c r="O323" s="13" t="str">
        <f t="shared" ca="1" si="103"/>
        <v>No_Action</v>
      </c>
      <c r="P323" s="13" t="str">
        <f t="shared" ca="1" si="104"/>
        <v>No_Action</v>
      </c>
      <c r="Q323" s="13" t="str">
        <f t="shared" ca="1" si="105"/>
        <v>No_Action</v>
      </c>
      <c r="R323" s="15"/>
      <c r="S323" s="15" t="str">
        <f t="shared" ca="1" si="106"/>
        <v>NoNo</v>
      </c>
      <c r="T323" s="15"/>
      <c r="U323" s="15">
        <f t="shared" ca="1" si="107"/>
        <v>0</v>
      </c>
      <c r="V323" s="15">
        <f t="shared" ca="1" si="108"/>
        <v>0</v>
      </c>
      <c r="W323" s="15" t="str">
        <f t="shared" ca="1" si="109"/>
        <v>No_Action</v>
      </c>
      <c r="X323" s="15"/>
      <c r="Y323" s="15" t="str">
        <f t="shared" ca="1" si="110"/>
        <v>No_Action</v>
      </c>
      <c r="Z323" s="15">
        <f t="shared" ca="1" si="111"/>
        <v>0</v>
      </c>
      <c r="AA323" s="15">
        <f t="shared" ca="1" si="112"/>
        <v>0</v>
      </c>
      <c r="AB323" s="15"/>
      <c r="AC323" s="15" t="str">
        <f t="shared" ca="1" si="113"/>
        <v>NoNo</v>
      </c>
      <c r="AD323" s="15"/>
      <c r="AE323" s="15">
        <f t="shared" ca="1" si="114"/>
        <v>0</v>
      </c>
      <c r="AF323" s="16">
        <f t="shared" ca="1" si="115"/>
        <v>0</v>
      </c>
      <c r="AG323" s="16" t="str">
        <f t="shared" ca="1" si="116"/>
        <v>No_Action</v>
      </c>
      <c r="AH323" s="15"/>
      <c r="AI323" s="15" t="str">
        <f t="shared" ca="1" si="117"/>
        <v>No_Action</v>
      </c>
      <c r="AJ323" s="15">
        <f t="shared" ca="1" si="118"/>
        <v>0</v>
      </c>
      <c r="AK323" s="15">
        <f t="shared" ca="1" si="119"/>
        <v>0</v>
      </c>
    </row>
    <row r="324" spans="1:37" ht="14.5" customHeight="1" x14ac:dyDescent="0.35">
      <c r="A324" s="12" t="s">
        <v>340</v>
      </c>
      <c r="B324" s="13">
        <f ca="1">IFERROR(__xludf.DUMMYFUNCTION("GOOGLEFINANCE(""NSE:""&amp;A324,""PRICE"")"),3718)</f>
        <v>3718</v>
      </c>
      <c r="C324" s="13">
        <f ca="1">IFERROR(__xludf.DUMMYFUNCTION("GOOGLEFINANCE(""NSE:""&amp;A324,""PRICEOPEN"")"),3699.5)</f>
        <v>3699.5</v>
      </c>
      <c r="D324" s="13">
        <f ca="1">IFERROR(__xludf.DUMMYFUNCTION("GOOGLEFINANCE(""NSE:""&amp;A324,""HIGH"")"),3798)</f>
        <v>3798</v>
      </c>
      <c r="E324" s="13">
        <f ca="1">IFERROR(__xludf.DUMMYFUNCTION("GOOGLEFINANCE(""NSE:""&amp;A324,""LOW"")"),3673.55)</f>
        <v>3673.55</v>
      </c>
      <c r="F324" s="13">
        <f ca="1">IFERROR(__xludf.DUMMYFUNCTION("GOOGLEFINANCE(""NSE:""&amp;A324,""closeyest"")"),3680.15)</f>
        <v>3680.15</v>
      </c>
      <c r="G324" s="14">
        <f t="shared" ca="1" si="100"/>
        <v>4.975793437331899E-3</v>
      </c>
      <c r="H324" s="13">
        <f ca="1">IFERROR(__xludf.DUMMYFUNCTION("GOOGLEFINANCE(""NSE:""&amp;A324,""VOLUME"")"),339027)</f>
        <v>339027</v>
      </c>
      <c r="I324" s="13" t="str">
        <f ca="1">IFERROR(__xludf.DUMMYFUNCTION("AVERAGE(index(GOOGLEFINANCE(""NSE:""&amp;$A324, ""volume"", today()-21, today()-1), , 2))"),"#N/A")</f>
        <v>#N/A</v>
      </c>
      <c r="J324" s="14" t="e">
        <f t="shared" ca="1" si="101"/>
        <v>#VALUE!</v>
      </c>
      <c r="K324" s="13" t="str">
        <f ca="1">IFERROR(__xludf.DUMMYFUNCTION("AVERAGE(index(GOOGLEFINANCE(""NSE:""&amp;$A324, ""close"", today()-6, today()-1), , 2))"),"#N/A")</f>
        <v>#N/A</v>
      </c>
      <c r="L324" s="13" t="str">
        <f ca="1">IFERROR(__xludf.DUMMYFUNCTION("AVERAGE(index(GOOGLEFINANCE(""NSE:""&amp;$A324, ""close"", today()-14, today()-1), , 2))"),"#N/A")</f>
        <v>#N/A</v>
      </c>
      <c r="M324" s="13" t="str">
        <f ca="1">IFERROR(__xludf.DUMMYFUNCTION("AVERAGE(index(GOOGLEFINANCE(""NSE:""&amp;$A324, ""close"", today()-22, today()-1), , 2))"),"#N/A")</f>
        <v>#N/A</v>
      </c>
      <c r="N324" s="13" t="str">
        <f t="shared" ca="1" si="102"/>
        <v>No_Action</v>
      </c>
      <c r="O324" s="13" t="str">
        <f t="shared" ca="1" si="103"/>
        <v>No_Action</v>
      </c>
      <c r="P324" s="13" t="str">
        <f t="shared" ca="1" si="104"/>
        <v>No_Action</v>
      </c>
      <c r="Q324" s="13" t="str">
        <f t="shared" ca="1" si="105"/>
        <v>No_Action</v>
      </c>
      <c r="R324" s="15"/>
      <c r="S324" s="15" t="str">
        <f t="shared" ca="1" si="106"/>
        <v>NoNo</v>
      </c>
      <c r="T324" s="15"/>
      <c r="U324" s="15">
        <f t="shared" ca="1" si="107"/>
        <v>0</v>
      </c>
      <c r="V324" s="15">
        <f t="shared" ca="1" si="108"/>
        <v>0</v>
      </c>
      <c r="W324" s="15" t="str">
        <f t="shared" ca="1" si="109"/>
        <v>No_Action</v>
      </c>
      <c r="X324" s="15"/>
      <c r="Y324" s="15" t="str">
        <f t="shared" ca="1" si="110"/>
        <v>No_Action</v>
      </c>
      <c r="Z324" s="15">
        <f t="shared" ca="1" si="111"/>
        <v>0</v>
      </c>
      <c r="AA324" s="15">
        <f t="shared" ca="1" si="112"/>
        <v>0</v>
      </c>
      <c r="AB324" s="15"/>
      <c r="AC324" s="15" t="str">
        <f t="shared" ca="1" si="113"/>
        <v>NoNo</v>
      </c>
      <c r="AD324" s="15"/>
      <c r="AE324" s="15">
        <f t="shared" ca="1" si="114"/>
        <v>0</v>
      </c>
      <c r="AF324" s="16">
        <f t="shared" ca="1" si="115"/>
        <v>0</v>
      </c>
      <c r="AG324" s="16" t="str">
        <f t="shared" ca="1" si="116"/>
        <v>No_Action</v>
      </c>
      <c r="AH324" s="15"/>
      <c r="AI324" s="15" t="str">
        <f t="shared" ca="1" si="117"/>
        <v>No_Action</v>
      </c>
      <c r="AJ324" s="15">
        <f t="shared" ca="1" si="118"/>
        <v>0</v>
      </c>
      <c r="AK324" s="15">
        <f t="shared" ca="1" si="119"/>
        <v>0</v>
      </c>
    </row>
    <row r="325" spans="1:37" ht="14.5" customHeight="1" x14ac:dyDescent="0.35">
      <c r="A325" s="12" t="s">
        <v>341</v>
      </c>
      <c r="B325" s="13">
        <f ca="1">IFERROR(__xludf.DUMMYFUNCTION("GOOGLEFINANCE(""NSE:""&amp;A325,""PRICE"")"),11795.2)</f>
        <v>11795.2</v>
      </c>
      <c r="C325" s="13">
        <f ca="1">IFERROR(__xludf.DUMMYFUNCTION("GOOGLEFINANCE(""NSE:""&amp;A325,""PRICEOPEN"")"),11858.4)</f>
        <v>11858.4</v>
      </c>
      <c r="D325" s="13">
        <f ca="1">IFERROR(__xludf.DUMMYFUNCTION("GOOGLEFINANCE(""NSE:""&amp;A325,""HIGH"")"),11890)</f>
        <v>11890</v>
      </c>
      <c r="E325" s="13">
        <f ca="1">IFERROR(__xludf.DUMMYFUNCTION("GOOGLEFINANCE(""NSE:""&amp;A325,""LOW"")"),11718)</f>
        <v>11718</v>
      </c>
      <c r="F325" s="13">
        <f ca="1">IFERROR(__xludf.DUMMYFUNCTION("GOOGLEFINANCE(""NSE:""&amp;A325,""closeyest"")"),11848.5)</f>
        <v>11848.5</v>
      </c>
      <c r="G325" s="14">
        <f t="shared" ca="1" si="100"/>
        <v>-5.3581117742809705E-3</v>
      </c>
      <c r="H325" s="13">
        <f ca="1">IFERROR(__xludf.DUMMYFUNCTION("GOOGLEFINANCE(""NSE:""&amp;A325,""VOLUME"")"),268177)</f>
        <v>268177</v>
      </c>
      <c r="I325" s="13" t="str">
        <f ca="1">IFERROR(__xludf.DUMMYFUNCTION("AVERAGE(index(GOOGLEFINANCE(""NSE:""&amp;$A325, ""volume"", today()-21, today()-1), , 2))"),"#N/A")</f>
        <v>#N/A</v>
      </c>
      <c r="J325" s="14" t="e">
        <f t="shared" ca="1" si="101"/>
        <v>#VALUE!</v>
      </c>
      <c r="K325" s="13" t="str">
        <f ca="1">IFERROR(__xludf.DUMMYFUNCTION("AVERAGE(index(GOOGLEFINANCE(""NSE:""&amp;$A325, ""close"", today()-6, today()-1), , 2))"),"#N/A")</f>
        <v>#N/A</v>
      </c>
      <c r="L325" s="13" t="str">
        <f ca="1">IFERROR(__xludf.DUMMYFUNCTION("AVERAGE(index(GOOGLEFINANCE(""NSE:""&amp;$A325, ""close"", today()-14, today()-1), , 2))"),"#N/A")</f>
        <v>#N/A</v>
      </c>
      <c r="M325" s="13" t="str">
        <f ca="1">IFERROR(__xludf.DUMMYFUNCTION("AVERAGE(index(GOOGLEFINANCE(""NSE:""&amp;$A325, ""close"", today()-22, today()-1), , 2))"),"#N/A")</f>
        <v>#N/A</v>
      </c>
      <c r="N325" s="13" t="str">
        <f t="shared" ca="1" si="102"/>
        <v>No_Action</v>
      </c>
      <c r="O325" s="13" t="str">
        <f t="shared" ca="1" si="103"/>
        <v>No_Action</v>
      </c>
      <c r="P325" s="13" t="str">
        <f t="shared" ca="1" si="104"/>
        <v>No_Action</v>
      </c>
      <c r="Q325" s="13" t="str">
        <f t="shared" ca="1" si="105"/>
        <v>No_Action</v>
      </c>
      <c r="R325" s="15"/>
      <c r="S325" s="15" t="str">
        <f t="shared" ca="1" si="106"/>
        <v>NoNo</v>
      </c>
      <c r="T325" s="15"/>
      <c r="U325" s="15">
        <f t="shared" ca="1" si="107"/>
        <v>0</v>
      </c>
      <c r="V325" s="15">
        <f t="shared" ca="1" si="108"/>
        <v>0</v>
      </c>
      <c r="W325" s="15" t="str">
        <f t="shared" ca="1" si="109"/>
        <v>No_Action</v>
      </c>
      <c r="X325" s="15"/>
      <c r="Y325" s="15" t="str">
        <f t="shared" ca="1" si="110"/>
        <v>No_Action</v>
      </c>
      <c r="Z325" s="15">
        <f t="shared" ca="1" si="111"/>
        <v>0</v>
      </c>
      <c r="AA325" s="15">
        <f t="shared" ca="1" si="112"/>
        <v>0</v>
      </c>
      <c r="AB325" s="15"/>
      <c r="AC325" s="15" t="str">
        <f t="shared" ca="1" si="113"/>
        <v>NoNo</v>
      </c>
      <c r="AD325" s="15"/>
      <c r="AE325" s="15">
        <f t="shared" ca="1" si="114"/>
        <v>0</v>
      </c>
      <c r="AF325" s="16">
        <f t="shared" ca="1" si="115"/>
        <v>0</v>
      </c>
      <c r="AG325" s="16" t="str">
        <f t="shared" ca="1" si="116"/>
        <v>No_Action</v>
      </c>
      <c r="AH325" s="15"/>
      <c r="AI325" s="15" t="str">
        <f t="shared" ca="1" si="117"/>
        <v>No_Action</v>
      </c>
      <c r="AJ325" s="15">
        <f t="shared" ca="1" si="118"/>
        <v>0</v>
      </c>
      <c r="AK325" s="15">
        <f t="shared" ca="1" si="119"/>
        <v>0</v>
      </c>
    </row>
    <row r="326" spans="1:37" ht="14.5" customHeight="1" x14ac:dyDescent="0.35">
      <c r="A326" s="12" t="s">
        <v>342</v>
      </c>
      <c r="B326" s="13">
        <f ca="1">IFERROR(__xludf.DUMMYFUNCTION("GOOGLEFINANCE(""NSE:""&amp;A326,""PRICE"")"),431)</f>
        <v>431</v>
      </c>
      <c r="C326" s="13">
        <f ca="1">IFERROR(__xludf.DUMMYFUNCTION("GOOGLEFINANCE(""NSE:""&amp;A326,""PRICEOPEN"")"),421.3)</f>
        <v>421.3</v>
      </c>
      <c r="D326" s="13">
        <f ca="1">IFERROR(__xludf.DUMMYFUNCTION("GOOGLEFINANCE(""NSE:""&amp;A326,""HIGH"")"),431.45)</f>
        <v>431.45</v>
      </c>
      <c r="E326" s="13">
        <f ca="1">IFERROR(__xludf.DUMMYFUNCTION("GOOGLEFINANCE(""NSE:""&amp;A326,""LOW"")"),421.3)</f>
        <v>421.3</v>
      </c>
      <c r="F326" s="13">
        <f ca="1">IFERROR(__xludf.DUMMYFUNCTION("GOOGLEFINANCE(""NSE:""&amp;A326,""closeyest"")"),421.25)</f>
        <v>421.25</v>
      </c>
      <c r="G326" s="14">
        <f t="shared" ca="1" si="100"/>
        <v>2.2505800464037096E-2</v>
      </c>
      <c r="H326" s="13">
        <f ca="1">IFERROR(__xludf.DUMMYFUNCTION("GOOGLEFINANCE(""NSE:""&amp;A326,""VOLUME"")"),58790)</f>
        <v>58790</v>
      </c>
      <c r="I326" s="13" t="str">
        <f ca="1">IFERROR(__xludf.DUMMYFUNCTION("AVERAGE(index(GOOGLEFINANCE(""NSE:""&amp;$A326, ""volume"", today()-21, today()-1), , 2))"),"#N/A")</f>
        <v>#N/A</v>
      </c>
      <c r="J326" s="14" t="e">
        <f t="shared" ca="1" si="101"/>
        <v>#VALUE!</v>
      </c>
      <c r="K326" s="13" t="str">
        <f ca="1">IFERROR(__xludf.DUMMYFUNCTION("AVERAGE(index(GOOGLEFINANCE(""NSE:""&amp;$A326, ""close"", today()-6, today()-1), , 2))"),"#N/A")</f>
        <v>#N/A</v>
      </c>
      <c r="L326" s="13" t="str">
        <f ca="1">IFERROR(__xludf.DUMMYFUNCTION("AVERAGE(index(GOOGLEFINANCE(""NSE:""&amp;$A326, ""close"", today()-14, today()-1), , 2))"),"#N/A")</f>
        <v>#N/A</v>
      </c>
      <c r="M326" s="13" t="str">
        <f ca="1">IFERROR(__xludf.DUMMYFUNCTION("AVERAGE(index(GOOGLEFINANCE(""NSE:""&amp;$A326, ""close"", today()-22, today()-1), , 2))"),"#N/A")</f>
        <v>#N/A</v>
      </c>
      <c r="N326" s="13" t="str">
        <f t="shared" ca="1" si="102"/>
        <v>No_Action</v>
      </c>
      <c r="O326" s="13" t="str">
        <f t="shared" ca="1" si="103"/>
        <v>No_Action</v>
      </c>
      <c r="P326" s="13" t="str">
        <f t="shared" ca="1" si="104"/>
        <v>No_Action</v>
      </c>
      <c r="Q326" s="13" t="str">
        <f t="shared" ca="1" si="105"/>
        <v>No_Action</v>
      </c>
      <c r="R326" s="15"/>
      <c r="S326" s="15" t="str">
        <f t="shared" ca="1" si="106"/>
        <v>NoNo</v>
      </c>
      <c r="T326" s="15"/>
      <c r="U326" s="15">
        <f t="shared" ca="1" si="107"/>
        <v>0</v>
      </c>
      <c r="V326" s="15">
        <f t="shared" ca="1" si="108"/>
        <v>0</v>
      </c>
      <c r="W326" s="15" t="str">
        <f t="shared" ca="1" si="109"/>
        <v>No_Action</v>
      </c>
      <c r="X326" s="15"/>
      <c r="Y326" s="15" t="str">
        <f t="shared" ca="1" si="110"/>
        <v>No_Action</v>
      </c>
      <c r="Z326" s="15">
        <f t="shared" ca="1" si="111"/>
        <v>0</v>
      </c>
      <c r="AA326" s="15">
        <f t="shared" ca="1" si="112"/>
        <v>0</v>
      </c>
      <c r="AB326" s="15"/>
      <c r="AC326" s="15" t="str">
        <f t="shared" ca="1" si="113"/>
        <v>NoNo</v>
      </c>
      <c r="AD326" s="15"/>
      <c r="AE326" s="15">
        <f t="shared" ca="1" si="114"/>
        <v>0</v>
      </c>
      <c r="AF326" s="16">
        <f t="shared" ca="1" si="115"/>
        <v>0</v>
      </c>
      <c r="AG326" s="16" t="str">
        <f t="shared" ca="1" si="116"/>
        <v>No_Action</v>
      </c>
      <c r="AH326" s="15"/>
      <c r="AI326" s="15" t="str">
        <f t="shared" ca="1" si="117"/>
        <v>No_Action</v>
      </c>
      <c r="AJ326" s="15">
        <f t="shared" ca="1" si="118"/>
        <v>0</v>
      </c>
      <c r="AK326" s="15">
        <f t="shared" ca="1" si="119"/>
        <v>0</v>
      </c>
    </row>
    <row r="327" spans="1:37" ht="14.5" customHeight="1" x14ac:dyDescent="0.35">
      <c r="A327" s="12" t="s">
        <v>343</v>
      </c>
      <c r="B327" s="13">
        <f ca="1">IFERROR(__xludf.DUMMYFUNCTION("GOOGLEFINANCE(""NSE:""&amp;A327,""PRICE"")"),1508.6)</f>
        <v>1508.6</v>
      </c>
      <c r="C327" s="13">
        <f ca="1">IFERROR(__xludf.DUMMYFUNCTION("GOOGLEFINANCE(""NSE:""&amp;A327,""PRICEOPEN"")"),1512.7)</f>
        <v>1512.7</v>
      </c>
      <c r="D327" s="13">
        <f ca="1">IFERROR(__xludf.DUMMYFUNCTION("GOOGLEFINANCE(""NSE:""&amp;A327,""HIGH"")"),1522.65)</f>
        <v>1522.65</v>
      </c>
      <c r="E327" s="13">
        <f ca="1">IFERROR(__xludf.DUMMYFUNCTION("GOOGLEFINANCE(""NSE:""&amp;A327,""LOW"")"),1492.25)</f>
        <v>1492.25</v>
      </c>
      <c r="F327" s="13">
        <f ca="1">IFERROR(__xludf.DUMMYFUNCTION("GOOGLEFINANCE(""NSE:""&amp;A327,""closeyest"")"),1516.6)</f>
        <v>1516.6</v>
      </c>
      <c r="G327" s="14">
        <f t="shared" ca="1" si="100"/>
        <v>-2.7177515577357396E-3</v>
      </c>
      <c r="H327" s="13">
        <f ca="1">IFERROR(__xludf.DUMMYFUNCTION("GOOGLEFINANCE(""NSE:""&amp;A327,""VOLUME"")"),516426)</f>
        <v>516426</v>
      </c>
      <c r="I327" s="13" t="str">
        <f ca="1">IFERROR(__xludf.DUMMYFUNCTION("AVERAGE(index(GOOGLEFINANCE(""NSE:""&amp;$A327, ""volume"", today()-21, today()-1), , 2))"),"#N/A")</f>
        <v>#N/A</v>
      </c>
      <c r="J327" s="14" t="e">
        <f t="shared" ca="1" si="101"/>
        <v>#VALUE!</v>
      </c>
      <c r="K327" s="13" t="str">
        <f ca="1">IFERROR(__xludf.DUMMYFUNCTION("AVERAGE(index(GOOGLEFINANCE(""NSE:""&amp;$A327, ""close"", today()-6, today()-1), , 2))"),"#N/A")</f>
        <v>#N/A</v>
      </c>
      <c r="L327" s="13" t="str">
        <f ca="1">IFERROR(__xludf.DUMMYFUNCTION("AVERAGE(index(GOOGLEFINANCE(""NSE:""&amp;$A327, ""close"", today()-14, today()-1), , 2))"),"#N/A")</f>
        <v>#N/A</v>
      </c>
      <c r="M327" s="13" t="str">
        <f ca="1">IFERROR(__xludf.DUMMYFUNCTION("AVERAGE(index(GOOGLEFINANCE(""NSE:""&amp;$A327, ""close"", today()-22, today()-1), , 2))"),"#N/A")</f>
        <v>#N/A</v>
      </c>
      <c r="N327" s="13" t="str">
        <f t="shared" ca="1" si="102"/>
        <v>No_Action</v>
      </c>
      <c r="O327" s="13" t="str">
        <f t="shared" ca="1" si="103"/>
        <v>No_Action</v>
      </c>
      <c r="P327" s="13" t="str">
        <f t="shared" ca="1" si="104"/>
        <v>No_Action</v>
      </c>
      <c r="Q327" s="13" t="str">
        <f t="shared" ca="1" si="105"/>
        <v>No_Action</v>
      </c>
      <c r="R327" s="15"/>
      <c r="S327" s="15" t="str">
        <f t="shared" ca="1" si="106"/>
        <v>NoNo</v>
      </c>
      <c r="T327" s="15"/>
      <c r="U327" s="15">
        <f t="shared" ca="1" si="107"/>
        <v>0</v>
      </c>
      <c r="V327" s="15">
        <f t="shared" ca="1" si="108"/>
        <v>0</v>
      </c>
      <c r="W327" s="15" t="str">
        <f t="shared" ca="1" si="109"/>
        <v>No_Action</v>
      </c>
      <c r="X327" s="15"/>
      <c r="Y327" s="15" t="str">
        <f t="shared" ca="1" si="110"/>
        <v>No_Action</v>
      </c>
      <c r="Z327" s="15">
        <f t="shared" ca="1" si="111"/>
        <v>0</v>
      </c>
      <c r="AA327" s="15">
        <f t="shared" ca="1" si="112"/>
        <v>0</v>
      </c>
      <c r="AB327" s="15"/>
      <c r="AC327" s="15" t="str">
        <f t="shared" ca="1" si="113"/>
        <v>NoNo</v>
      </c>
      <c r="AD327" s="15"/>
      <c r="AE327" s="15">
        <f t="shared" ca="1" si="114"/>
        <v>0</v>
      </c>
      <c r="AF327" s="16">
        <f t="shared" ca="1" si="115"/>
        <v>0</v>
      </c>
      <c r="AG327" s="16" t="str">
        <f t="shared" ca="1" si="116"/>
        <v>No_Action</v>
      </c>
      <c r="AH327" s="15"/>
      <c r="AI327" s="15" t="str">
        <f t="shared" ca="1" si="117"/>
        <v>No_Action</v>
      </c>
      <c r="AJ327" s="15">
        <f t="shared" ca="1" si="118"/>
        <v>0</v>
      </c>
      <c r="AK327" s="15">
        <f t="shared" ca="1" si="119"/>
        <v>0</v>
      </c>
    </row>
    <row r="328" spans="1:37" ht="14.5" customHeight="1" x14ac:dyDescent="0.35">
      <c r="A328" s="12" t="s">
        <v>344</v>
      </c>
      <c r="B328" s="13">
        <f ca="1">IFERROR(__xludf.DUMMYFUNCTION("GOOGLEFINANCE(""NSE:""&amp;A328,""PRICE"")"),409.05)</f>
        <v>409.05</v>
      </c>
      <c r="C328" s="13">
        <f ca="1">IFERROR(__xludf.DUMMYFUNCTION("GOOGLEFINANCE(""NSE:""&amp;A328,""PRICEOPEN"")"),407.6)</f>
        <v>407.6</v>
      </c>
      <c r="D328" s="13">
        <f ca="1">IFERROR(__xludf.DUMMYFUNCTION("GOOGLEFINANCE(""NSE:""&amp;A328,""HIGH"")"),414.85)</f>
        <v>414.85</v>
      </c>
      <c r="E328" s="13">
        <f ca="1">IFERROR(__xludf.DUMMYFUNCTION("GOOGLEFINANCE(""NSE:""&amp;A328,""LOW"")"),406.15)</f>
        <v>406.15</v>
      </c>
      <c r="F328" s="13">
        <f ca="1">IFERROR(__xludf.DUMMYFUNCTION("GOOGLEFINANCE(""NSE:""&amp;A328,""closeyest"")"),407.6)</f>
        <v>407.6</v>
      </c>
      <c r="G328" s="14">
        <f t="shared" ca="1" si="100"/>
        <v>3.5447989243368502E-3</v>
      </c>
      <c r="H328" s="13">
        <f ca="1">IFERROR(__xludf.DUMMYFUNCTION("GOOGLEFINANCE(""NSE:""&amp;A328,""VOLUME"")"),476984)</f>
        <v>476984</v>
      </c>
      <c r="I328" s="13" t="str">
        <f ca="1">IFERROR(__xludf.DUMMYFUNCTION("AVERAGE(index(GOOGLEFINANCE(""NSE:""&amp;$A328, ""volume"", today()-21, today()-1), , 2))"),"#N/A")</f>
        <v>#N/A</v>
      </c>
      <c r="J328" s="14" t="e">
        <f t="shared" ca="1" si="101"/>
        <v>#VALUE!</v>
      </c>
      <c r="K328" s="13" t="str">
        <f ca="1">IFERROR(__xludf.DUMMYFUNCTION("AVERAGE(index(GOOGLEFINANCE(""NSE:""&amp;$A328, ""close"", today()-6, today()-1), , 2))"),"#N/A")</f>
        <v>#N/A</v>
      </c>
      <c r="L328" s="13" t="str">
        <f ca="1">IFERROR(__xludf.DUMMYFUNCTION("AVERAGE(index(GOOGLEFINANCE(""NSE:""&amp;$A328, ""close"", today()-14, today()-1), , 2))"),"#N/A")</f>
        <v>#N/A</v>
      </c>
      <c r="M328" s="13" t="str">
        <f ca="1">IFERROR(__xludf.DUMMYFUNCTION("AVERAGE(index(GOOGLEFINANCE(""NSE:""&amp;$A328, ""close"", today()-22, today()-1), , 2))"),"#N/A")</f>
        <v>#N/A</v>
      </c>
      <c r="N328" s="13" t="str">
        <f t="shared" ca="1" si="102"/>
        <v>No_Action</v>
      </c>
      <c r="O328" s="13" t="str">
        <f t="shared" ca="1" si="103"/>
        <v>No_Action</v>
      </c>
      <c r="P328" s="13" t="str">
        <f t="shared" ca="1" si="104"/>
        <v>No_Action</v>
      </c>
      <c r="Q328" s="13" t="str">
        <f t="shared" ca="1" si="105"/>
        <v>No_Action</v>
      </c>
      <c r="R328" s="15"/>
      <c r="S328" s="15" t="str">
        <f t="shared" ca="1" si="106"/>
        <v>NoNo</v>
      </c>
      <c r="T328" s="15"/>
      <c r="U328" s="15">
        <f t="shared" ca="1" si="107"/>
        <v>0</v>
      </c>
      <c r="V328" s="15">
        <f t="shared" ca="1" si="108"/>
        <v>0</v>
      </c>
      <c r="W328" s="15" t="str">
        <f t="shared" ca="1" si="109"/>
        <v>No_Action</v>
      </c>
      <c r="X328" s="15"/>
      <c r="Y328" s="15" t="str">
        <f t="shared" ca="1" si="110"/>
        <v>No_Action</v>
      </c>
      <c r="Z328" s="15">
        <f t="shared" ca="1" si="111"/>
        <v>0</v>
      </c>
      <c r="AA328" s="15">
        <f t="shared" ca="1" si="112"/>
        <v>0</v>
      </c>
      <c r="AB328" s="15"/>
      <c r="AC328" s="15" t="str">
        <f t="shared" ca="1" si="113"/>
        <v>NoNo</v>
      </c>
      <c r="AD328" s="15"/>
      <c r="AE328" s="15">
        <f t="shared" ca="1" si="114"/>
        <v>0</v>
      </c>
      <c r="AF328" s="16">
        <f t="shared" ca="1" si="115"/>
        <v>0</v>
      </c>
      <c r="AG328" s="16" t="str">
        <f t="shared" ca="1" si="116"/>
        <v>No_Action</v>
      </c>
      <c r="AH328" s="15"/>
      <c r="AI328" s="15" t="str">
        <f t="shared" ca="1" si="117"/>
        <v>No_Action</v>
      </c>
      <c r="AJ328" s="15">
        <f t="shared" ca="1" si="118"/>
        <v>0</v>
      </c>
      <c r="AK328" s="15">
        <f t="shared" ca="1" si="119"/>
        <v>0</v>
      </c>
    </row>
    <row r="329" spans="1:37" ht="14.5" customHeight="1" x14ac:dyDescent="0.35">
      <c r="A329" s="12" t="s">
        <v>345</v>
      </c>
      <c r="B329" s="13">
        <f ca="1">IFERROR(__xludf.DUMMYFUNCTION("GOOGLEFINANCE(""NSE:""&amp;A329,""PRICE"")"),1365.55)</f>
        <v>1365.55</v>
      </c>
      <c r="C329" s="13">
        <f ca="1">IFERROR(__xludf.DUMMYFUNCTION("GOOGLEFINANCE(""NSE:""&amp;A329,""PRICEOPEN"")"),1332.75)</f>
        <v>1332.75</v>
      </c>
      <c r="D329" s="13">
        <f ca="1">IFERROR(__xludf.DUMMYFUNCTION("GOOGLEFINANCE(""NSE:""&amp;A329,""HIGH"")"),1384)</f>
        <v>1384</v>
      </c>
      <c r="E329" s="13">
        <f ca="1">IFERROR(__xludf.DUMMYFUNCTION("GOOGLEFINANCE(""NSE:""&amp;A329,""LOW"")"),1330)</f>
        <v>1330</v>
      </c>
      <c r="F329" s="13">
        <f ca="1">IFERROR(__xludf.DUMMYFUNCTION("GOOGLEFINANCE(""NSE:""&amp;A329,""closeyest"")"),1325.9)</f>
        <v>1325.9</v>
      </c>
      <c r="G329" s="14">
        <f t="shared" ca="1" si="100"/>
        <v>2.4019625791805468E-2</v>
      </c>
      <c r="H329" s="13">
        <f ca="1">IFERROR(__xludf.DUMMYFUNCTION("GOOGLEFINANCE(""NSE:""&amp;A329,""VOLUME"")"),412167)</f>
        <v>412167</v>
      </c>
      <c r="I329" s="13" t="str">
        <f ca="1">IFERROR(__xludf.DUMMYFUNCTION("AVERAGE(index(GOOGLEFINANCE(""NSE:""&amp;$A329, ""volume"", today()-21, today()-1), , 2))"),"#N/A")</f>
        <v>#N/A</v>
      </c>
      <c r="J329" s="14" t="e">
        <f t="shared" ca="1" si="101"/>
        <v>#VALUE!</v>
      </c>
      <c r="K329" s="13" t="str">
        <f ca="1">IFERROR(__xludf.DUMMYFUNCTION("AVERAGE(index(GOOGLEFINANCE(""NSE:""&amp;$A329, ""close"", today()-6, today()-1), , 2))"),"#N/A")</f>
        <v>#N/A</v>
      </c>
      <c r="L329" s="13" t="str">
        <f ca="1">IFERROR(__xludf.DUMMYFUNCTION("AVERAGE(index(GOOGLEFINANCE(""NSE:""&amp;$A329, ""close"", today()-14, today()-1), , 2))"),"#N/A")</f>
        <v>#N/A</v>
      </c>
      <c r="M329" s="13" t="str">
        <f ca="1">IFERROR(__xludf.DUMMYFUNCTION("AVERAGE(index(GOOGLEFINANCE(""NSE:""&amp;$A329, ""close"", today()-22, today()-1), , 2))"),"#N/A")</f>
        <v>#N/A</v>
      </c>
      <c r="N329" s="13" t="str">
        <f t="shared" ca="1" si="102"/>
        <v>No_Action</v>
      </c>
      <c r="O329" s="13" t="str">
        <f t="shared" ca="1" si="103"/>
        <v>No_Action</v>
      </c>
      <c r="P329" s="13" t="str">
        <f t="shared" ca="1" si="104"/>
        <v>No_Action</v>
      </c>
      <c r="Q329" s="13" t="str">
        <f t="shared" ca="1" si="105"/>
        <v>No_Action</v>
      </c>
      <c r="R329" s="15"/>
      <c r="S329" s="15" t="str">
        <f t="shared" ca="1" si="106"/>
        <v>NoNo</v>
      </c>
      <c r="T329" s="15"/>
      <c r="U329" s="15">
        <f t="shared" ca="1" si="107"/>
        <v>0</v>
      </c>
      <c r="V329" s="15">
        <f t="shared" ca="1" si="108"/>
        <v>0</v>
      </c>
      <c r="W329" s="15" t="str">
        <f t="shared" ca="1" si="109"/>
        <v>No_Action</v>
      </c>
      <c r="X329" s="15"/>
      <c r="Y329" s="15" t="str">
        <f t="shared" ca="1" si="110"/>
        <v>No_Action</v>
      </c>
      <c r="Z329" s="15">
        <f t="shared" ca="1" si="111"/>
        <v>0</v>
      </c>
      <c r="AA329" s="15">
        <f t="shared" ca="1" si="112"/>
        <v>0</v>
      </c>
      <c r="AB329" s="15"/>
      <c r="AC329" s="15" t="str">
        <f t="shared" ca="1" si="113"/>
        <v>NoNo</v>
      </c>
      <c r="AD329" s="15"/>
      <c r="AE329" s="15">
        <f t="shared" ca="1" si="114"/>
        <v>0</v>
      </c>
      <c r="AF329" s="16">
        <f t="shared" ca="1" si="115"/>
        <v>0</v>
      </c>
      <c r="AG329" s="16" t="str">
        <f t="shared" ca="1" si="116"/>
        <v>No_Action</v>
      </c>
      <c r="AH329" s="15"/>
      <c r="AI329" s="15" t="str">
        <f t="shared" ca="1" si="117"/>
        <v>No_Action</v>
      </c>
      <c r="AJ329" s="15">
        <f t="shared" ca="1" si="118"/>
        <v>0</v>
      </c>
      <c r="AK329" s="15">
        <f t="shared" ca="1" si="119"/>
        <v>0</v>
      </c>
    </row>
    <row r="330" spans="1:37" ht="14.5" customHeight="1" x14ac:dyDescent="0.35">
      <c r="A330" s="12" t="s">
        <v>346</v>
      </c>
      <c r="B330" s="13">
        <f ca="1">IFERROR(__xludf.DUMMYFUNCTION("GOOGLEFINANCE(""NSE:""&amp;A330,""PRICE"")"),4182)</f>
        <v>4182</v>
      </c>
      <c r="C330" s="13">
        <f ca="1">IFERROR(__xludf.DUMMYFUNCTION("GOOGLEFINANCE(""NSE:""&amp;A330,""PRICEOPEN"")"),4266.45)</f>
        <v>4266.45</v>
      </c>
      <c r="D330" s="13">
        <f ca="1">IFERROR(__xludf.DUMMYFUNCTION("GOOGLEFINANCE(""NSE:""&amp;A330,""HIGH"")"),4270.45)</f>
        <v>4270.45</v>
      </c>
      <c r="E330" s="13">
        <f ca="1">IFERROR(__xludf.DUMMYFUNCTION("GOOGLEFINANCE(""NSE:""&amp;A330,""LOW"")"),4155)</f>
        <v>4155</v>
      </c>
      <c r="F330" s="13">
        <f ca="1">IFERROR(__xludf.DUMMYFUNCTION("GOOGLEFINANCE(""NSE:""&amp;A330,""closeyest"")"),4203.4)</f>
        <v>4203.3999999999996</v>
      </c>
      <c r="G330" s="14">
        <f t="shared" ca="1" si="100"/>
        <v>-2.0193687230989913E-2</v>
      </c>
      <c r="H330" s="13">
        <f ca="1">IFERROR(__xludf.DUMMYFUNCTION("GOOGLEFINANCE(""NSE:""&amp;A330,""VOLUME"")"),4262)</f>
        <v>4262</v>
      </c>
      <c r="I330" s="13" t="str">
        <f ca="1">IFERROR(__xludf.DUMMYFUNCTION("AVERAGE(index(GOOGLEFINANCE(""NSE:""&amp;$A330, ""volume"", today()-21, today()-1), , 2))"),"#N/A")</f>
        <v>#N/A</v>
      </c>
      <c r="J330" s="14" t="e">
        <f t="shared" ca="1" si="101"/>
        <v>#VALUE!</v>
      </c>
      <c r="K330" s="13" t="str">
        <f ca="1">IFERROR(__xludf.DUMMYFUNCTION("AVERAGE(index(GOOGLEFINANCE(""NSE:""&amp;$A330, ""close"", today()-6, today()-1), , 2))"),"#N/A")</f>
        <v>#N/A</v>
      </c>
      <c r="L330" s="13" t="str">
        <f ca="1">IFERROR(__xludf.DUMMYFUNCTION("AVERAGE(index(GOOGLEFINANCE(""NSE:""&amp;$A330, ""close"", today()-14, today()-1), , 2))"),"#N/A")</f>
        <v>#N/A</v>
      </c>
      <c r="M330" s="13" t="str">
        <f ca="1">IFERROR(__xludf.DUMMYFUNCTION("AVERAGE(index(GOOGLEFINANCE(""NSE:""&amp;$A330, ""close"", today()-22, today()-1), , 2))"),"#N/A")</f>
        <v>#N/A</v>
      </c>
      <c r="N330" s="13" t="str">
        <f t="shared" ca="1" si="102"/>
        <v>No_Action</v>
      </c>
      <c r="O330" s="13" t="str">
        <f t="shared" ca="1" si="103"/>
        <v>No_Action</v>
      </c>
      <c r="P330" s="13" t="str">
        <f t="shared" ca="1" si="104"/>
        <v>No_Action</v>
      </c>
      <c r="Q330" s="13" t="str">
        <f t="shared" ca="1" si="105"/>
        <v>No_Action</v>
      </c>
      <c r="R330" s="15"/>
      <c r="S330" s="15" t="str">
        <f t="shared" ca="1" si="106"/>
        <v>NoNo</v>
      </c>
      <c r="T330" s="15"/>
      <c r="U330" s="15">
        <f t="shared" ca="1" si="107"/>
        <v>0</v>
      </c>
      <c r="V330" s="15">
        <f t="shared" ca="1" si="108"/>
        <v>0</v>
      </c>
      <c r="W330" s="15" t="str">
        <f t="shared" ca="1" si="109"/>
        <v>No_Action</v>
      </c>
      <c r="X330" s="15"/>
      <c r="Y330" s="15" t="str">
        <f t="shared" ca="1" si="110"/>
        <v>No_Action</v>
      </c>
      <c r="Z330" s="15">
        <f t="shared" ca="1" si="111"/>
        <v>0</v>
      </c>
      <c r="AA330" s="15">
        <f t="shared" ca="1" si="112"/>
        <v>0</v>
      </c>
      <c r="AB330" s="15"/>
      <c r="AC330" s="15" t="str">
        <f t="shared" ca="1" si="113"/>
        <v>NoNo</v>
      </c>
      <c r="AD330" s="15"/>
      <c r="AE330" s="15">
        <f t="shared" ca="1" si="114"/>
        <v>0</v>
      </c>
      <c r="AF330" s="16">
        <f t="shared" ca="1" si="115"/>
        <v>0</v>
      </c>
      <c r="AG330" s="16" t="str">
        <f t="shared" ca="1" si="116"/>
        <v>No_Action</v>
      </c>
      <c r="AH330" s="15"/>
      <c r="AI330" s="15" t="str">
        <f t="shared" ca="1" si="117"/>
        <v>No_Action</v>
      </c>
      <c r="AJ330" s="15">
        <f t="shared" ca="1" si="118"/>
        <v>0</v>
      </c>
      <c r="AK330" s="15">
        <f t="shared" ca="1" si="119"/>
        <v>0</v>
      </c>
    </row>
    <row r="331" spans="1:37" ht="14.5" customHeight="1" x14ac:dyDescent="0.35">
      <c r="A331" s="12" t="s">
        <v>347</v>
      </c>
      <c r="B331" s="13">
        <f ca="1">IFERROR(__xludf.DUMMYFUNCTION("GOOGLEFINANCE(""NSE:""&amp;A331,""PRICE"")"),642.75)</f>
        <v>642.75</v>
      </c>
      <c r="C331" s="13">
        <f ca="1">IFERROR(__xludf.DUMMYFUNCTION("GOOGLEFINANCE(""NSE:""&amp;A331,""PRICEOPEN"")"),644)</f>
        <v>644</v>
      </c>
      <c r="D331" s="13">
        <f ca="1">IFERROR(__xludf.DUMMYFUNCTION("GOOGLEFINANCE(""NSE:""&amp;A331,""HIGH"")"),650)</f>
        <v>650</v>
      </c>
      <c r="E331" s="13">
        <f ca="1">IFERROR(__xludf.DUMMYFUNCTION("GOOGLEFINANCE(""NSE:""&amp;A331,""LOW"")"),639.2)</f>
        <v>639.20000000000005</v>
      </c>
      <c r="F331" s="13">
        <f ca="1">IFERROR(__xludf.DUMMYFUNCTION("GOOGLEFINANCE(""NSE:""&amp;A331,""closeyest"")"),644.05)</f>
        <v>644.04999999999995</v>
      </c>
      <c r="G331" s="14">
        <f t="shared" ca="1" si="100"/>
        <v>-1.9447685725398677E-3</v>
      </c>
      <c r="H331" s="13">
        <f ca="1">IFERROR(__xludf.DUMMYFUNCTION("GOOGLEFINANCE(""NSE:""&amp;A331,""VOLUME"")"),6600185)</f>
        <v>6600185</v>
      </c>
      <c r="I331" s="13" t="str">
        <f ca="1">IFERROR(__xludf.DUMMYFUNCTION("AVERAGE(index(GOOGLEFINANCE(""NSE:""&amp;$A331, ""volume"", today()-21, today()-1), , 2))"),"#N/A")</f>
        <v>#N/A</v>
      </c>
      <c r="J331" s="14" t="e">
        <f t="shared" ca="1" si="101"/>
        <v>#VALUE!</v>
      </c>
      <c r="K331" s="13" t="str">
        <f ca="1">IFERROR(__xludf.DUMMYFUNCTION("AVERAGE(index(GOOGLEFINANCE(""NSE:""&amp;$A331, ""close"", today()-6, today()-1), , 2))"),"#N/A")</f>
        <v>#N/A</v>
      </c>
      <c r="L331" s="13" t="str">
        <f ca="1">IFERROR(__xludf.DUMMYFUNCTION("AVERAGE(index(GOOGLEFINANCE(""NSE:""&amp;$A331, ""close"", today()-14, today()-1), , 2))"),"#N/A")</f>
        <v>#N/A</v>
      </c>
      <c r="M331" s="13" t="str">
        <f ca="1">IFERROR(__xludf.DUMMYFUNCTION("AVERAGE(index(GOOGLEFINANCE(""NSE:""&amp;$A331, ""close"", today()-22, today()-1), , 2))"),"#N/A")</f>
        <v>#N/A</v>
      </c>
      <c r="N331" s="13" t="str">
        <f t="shared" ca="1" si="102"/>
        <v>No_Action</v>
      </c>
      <c r="O331" s="13" t="str">
        <f t="shared" ca="1" si="103"/>
        <v>No_Action</v>
      </c>
      <c r="P331" s="13" t="str">
        <f t="shared" ca="1" si="104"/>
        <v>No_Action</v>
      </c>
      <c r="Q331" s="13" t="str">
        <f t="shared" ca="1" si="105"/>
        <v>No_Action</v>
      </c>
      <c r="R331" s="15"/>
      <c r="S331" s="15" t="str">
        <f t="shared" ca="1" si="106"/>
        <v>NoNo</v>
      </c>
      <c r="T331" s="15"/>
      <c r="U331" s="15">
        <f t="shared" ca="1" si="107"/>
        <v>0</v>
      </c>
      <c r="V331" s="15">
        <f t="shared" ca="1" si="108"/>
        <v>0</v>
      </c>
      <c r="W331" s="15" t="str">
        <f t="shared" ca="1" si="109"/>
        <v>No_Action</v>
      </c>
      <c r="X331" s="15"/>
      <c r="Y331" s="15" t="str">
        <f t="shared" ca="1" si="110"/>
        <v>No_Action</v>
      </c>
      <c r="Z331" s="15">
        <f t="shared" ca="1" si="111"/>
        <v>0</v>
      </c>
      <c r="AA331" s="15">
        <f t="shared" ca="1" si="112"/>
        <v>0</v>
      </c>
      <c r="AB331" s="15"/>
      <c r="AC331" s="15" t="str">
        <f t="shared" ca="1" si="113"/>
        <v>NoNo</v>
      </c>
      <c r="AD331" s="15"/>
      <c r="AE331" s="15">
        <f t="shared" ca="1" si="114"/>
        <v>0</v>
      </c>
      <c r="AF331" s="16">
        <f t="shared" ca="1" si="115"/>
        <v>0</v>
      </c>
      <c r="AG331" s="16" t="str">
        <f t="shared" ca="1" si="116"/>
        <v>No_Action</v>
      </c>
      <c r="AH331" s="15"/>
      <c r="AI331" s="15" t="str">
        <f t="shared" ca="1" si="117"/>
        <v>No_Action</v>
      </c>
      <c r="AJ331" s="15">
        <f t="shared" ca="1" si="118"/>
        <v>0</v>
      </c>
      <c r="AK331" s="15">
        <f t="shared" ca="1" si="119"/>
        <v>0</v>
      </c>
    </row>
    <row r="332" spans="1:37" ht="14.5" customHeight="1" x14ac:dyDescent="0.35">
      <c r="A332" s="12" t="s">
        <v>348</v>
      </c>
      <c r="B332" s="13">
        <f ca="1">IFERROR(__xludf.DUMMYFUNCTION("GOOGLEFINANCE(""NSE:""&amp;A332,""PRICE"")"),496.25)</f>
        <v>496.25</v>
      </c>
      <c r="C332" s="13">
        <f ca="1">IFERROR(__xludf.DUMMYFUNCTION("GOOGLEFINANCE(""NSE:""&amp;A332,""PRICEOPEN"")"),499.95)</f>
        <v>499.95</v>
      </c>
      <c r="D332" s="13">
        <f ca="1">IFERROR(__xludf.DUMMYFUNCTION("GOOGLEFINANCE(""NSE:""&amp;A332,""HIGH"")"),501.7)</f>
        <v>501.7</v>
      </c>
      <c r="E332" s="13">
        <f ca="1">IFERROR(__xludf.DUMMYFUNCTION("GOOGLEFINANCE(""NSE:""&amp;A332,""LOW"")"),488.8)</f>
        <v>488.8</v>
      </c>
      <c r="F332" s="13">
        <f ca="1">IFERROR(__xludf.DUMMYFUNCTION("GOOGLEFINANCE(""NSE:""&amp;A332,""closeyest"")"),501.4)</f>
        <v>501.4</v>
      </c>
      <c r="G332" s="14">
        <f t="shared" ca="1" si="100"/>
        <v>-7.4559193954659717E-3</v>
      </c>
      <c r="H332" s="13">
        <f ca="1">IFERROR(__xludf.DUMMYFUNCTION("GOOGLEFINANCE(""NSE:""&amp;A332,""VOLUME"")"),11524481)</f>
        <v>11524481</v>
      </c>
      <c r="I332" s="13" t="str">
        <f ca="1">IFERROR(__xludf.DUMMYFUNCTION("AVERAGE(index(GOOGLEFINANCE(""NSE:""&amp;$A332, ""volume"", today()-21, today()-1), , 2))"),"#N/A")</f>
        <v>#N/A</v>
      </c>
      <c r="J332" s="14" t="e">
        <f t="shared" ca="1" si="101"/>
        <v>#VALUE!</v>
      </c>
      <c r="K332" s="13" t="str">
        <f ca="1">IFERROR(__xludf.DUMMYFUNCTION("AVERAGE(index(GOOGLEFINANCE(""NSE:""&amp;$A332, ""close"", today()-6, today()-1), , 2))"),"#N/A")</f>
        <v>#N/A</v>
      </c>
      <c r="L332" s="13" t="str">
        <f ca="1">IFERROR(__xludf.DUMMYFUNCTION("AVERAGE(index(GOOGLEFINANCE(""NSE:""&amp;$A332, ""close"", today()-14, today()-1), , 2))"),"#N/A")</f>
        <v>#N/A</v>
      </c>
      <c r="M332" s="13" t="str">
        <f ca="1">IFERROR(__xludf.DUMMYFUNCTION("AVERAGE(index(GOOGLEFINANCE(""NSE:""&amp;$A332, ""close"", today()-22, today()-1), , 2))"),"#N/A")</f>
        <v>#N/A</v>
      </c>
      <c r="N332" s="13" t="str">
        <f t="shared" ca="1" si="102"/>
        <v>No_Action</v>
      </c>
      <c r="O332" s="13" t="str">
        <f t="shared" ca="1" si="103"/>
        <v>No_Action</v>
      </c>
      <c r="P332" s="13" t="str">
        <f t="shared" ca="1" si="104"/>
        <v>No_Action</v>
      </c>
      <c r="Q332" s="13" t="str">
        <f t="shared" ca="1" si="105"/>
        <v>No_Action</v>
      </c>
      <c r="R332" s="15"/>
      <c r="S332" s="15" t="str">
        <f t="shared" ca="1" si="106"/>
        <v>NoNo</v>
      </c>
      <c r="T332" s="15"/>
      <c r="U332" s="15">
        <f t="shared" ca="1" si="107"/>
        <v>0</v>
      </c>
      <c r="V332" s="15">
        <f t="shared" ca="1" si="108"/>
        <v>0</v>
      </c>
      <c r="W332" s="15" t="str">
        <f t="shared" ca="1" si="109"/>
        <v>No_Action</v>
      </c>
      <c r="X332" s="15"/>
      <c r="Y332" s="15" t="str">
        <f t="shared" ca="1" si="110"/>
        <v>No_Action</v>
      </c>
      <c r="Z332" s="15">
        <f t="shared" ca="1" si="111"/>
        <v>0</v>
      </c>
      <c r="AA332" s="15">
        <f t="shared" ca="1" si="112"/>
        <v>0</v>
      </c>
      <c r="AB332" s="15"/>
      <c r="AC332" s="15" t="str">
        <f t="shared" ca="1" si="113"/>
        <v>NoNo</v>
      </c>
      <c r="AD332" s="15"/>
      <c r="AE332" s="15">
        <f t="shared" ca="1" si="114"/>
        <v>0</v>
      </c>
      <c r="AF332" s="16">
        <f t="shared" ca="1" si="115"/>
        <v>0</v>
      </c>
      <c r="AG332" s="16" t="str">
        <f t="shared" ca="1" si="116"/>
        <v>No_Action</v>
      </c>
      <c r="AH332" s="15"/>
      <c r="AI332" s="15" t="str">
        <f t="shared" ca="1" si="117"/>
        <v>No_Action</v>
      </c>
      <c r="AJ332" s="15">
        <f t="shared" ca="1" si="118"/>
        <v>0</v>
      </c>
      <c r="AK332" s="15">
        <f t="shared" ca="1" si="119"/>
        <v>0</v>
      </c>
    </row>
    <row r="333" spans="1:37" ht="14.5" customHeight="1" x14ac:dyDescent="0.35">
      <c r="A333" s="12" t="s">
        <v>349</v>
      </c>
      <c r="B333" s="13">
        <f ca="1">IFERROR(__xludf.DUMMYFUNCTION("GOOGLEFINANCE(""NSE:""&amp;A333,""PRICE"")"),534.5)</f>
        <v>534.5</v>
      </c>
      <c r="C333" s="13">
        <f ca="1">IFERROR(__xludf.DUMMYFUNCTION("GOOGLEFINANCE(""NSE:""&amp;A333,""PRICEOPEN"")"),485.9)</f>
        <v>485.9</v>
      </c>
      <c r="D333" s="13">
        <f ca="1">IFERROR(__xludf.DUMMYFUNCTION("GOOGLEFINANCE(""NSE:""&amp;A333,""HIGH"")"),534.5)</f>
        <v>534.5</v>
      </c>
      <c r="E333" s="13">
        <f ca="1">IFERROR(__xludf.DUMMYFUNCTION("GOOGLEFINANCE(""NSE:""&amp;A333,""LOW"")"),480.15)</f>
        <v>480.15</v>
      </c>
      <c r="F333" s="13">
        <f ca="1">IFERROR(__xludf.DUMMYFUNCTION("GOOGLEFINANCE(""NSE:""&amp;A333,""closeyest"")"),480.5)</f>
        <v>480.5</v>
      </c>
      <c r="G333" s="14">
        <f t="shared" ca="1" si="100"/>
        <v>9.0926099158091717E-2</v>
      </c>
      <c r="H333" s="13">
        <f ca="1">IFERROR(__xludf.DUMMYFUNCTION("GOOGLEFINANCE(""NSE:""&amp;A333,""VOLUME"")"),447563)</f>
        <v>447563</v>
      </c>
      <c r="I333" s="13" t="str">
        <f ca="1">IFERROR(__xludf.DUMMYFUNCTION("AVERAGE(index(GOOGLEFINANCE(""NSE:""&amp;$A333, ""volume"", today()-21, today()-1), , 2))"),"#N/A")</f>
        <v>#N/A</v>
      </c>
      <c r="J333" s="14" t="e">
        <f t="shared" ca="1" si="101"/>
        <v>#VALUE!</v>
      </c>
      <c r="K333" s="13" t="str">
        <f ca="1">IFERROR(__xludf.DUMMYFUNCTION("AVERAGE(index(GOOGLEFINANCE(""NSE:""&amp;$A333, ""close"", today()-6, today()-1), , 2))"),"#N/A")</f>
        <v>#N/A</v>
      </c>
      <c r="L333" s="13" t="str">
        <f ca="1">IFERROR(__xludf.DUMMYFUNCTION("AVERAGE(index(GOOGLEFINANCE(""NSE:""&amp;$A333, ""close"", today()-14, today()-1), , 2))"),"#N/A")</f>
        <v>#N/A</v>
      </c>
      <c r="M333" s="13" t="str">
        <f ca="1">IFERROR(__xludf.DUMMYFUNCTION("AVERAGE(index(GOOGLEFINANCE(""NSE:""&amp;$A333, ""close"", today()-22, today()-1), , 2))"),"#N/A")</f>
        <v>#N/A</v>
      </c>
      <c r="N333" s="13" t="str">
        <f t="shared" ca="1" si="102"/>
        <v>No_Action</v>
      </c>
      <c r="O333" s="13" t="str">
        <f t="shared" ca="1" si="103"/>
        <v>No_Action</v>
      </c>
      <c r="P333" s="13" t="str">
        <f t="shared" ca="1" si="104"/>
        <v>No_Action</v>
      </c>
      <c r="Q333" s="13" t="str">
        <f t="shared" ca="1" si="105"/>
        <v>No_Action</v>
      </c>
      <c r="R333" s="15"/>
      <c r="S333" s="15" t="str">
        <f t="shared" ca="1" si="106"/>
        <v>NoNo</v>
      </c>
      <c r="T333" s="15"/>
      <c r="U333" s="15">
        <f t="shared" ca="1" si="107"/>
        <v>0</v>
      </c>
      <c r="V333" s="15">
        <f t="shared" ca="1" si="108"/>
        <v>0</v>
      </c>
      <c r="W333" s="15" t="str">
        <f t="shared" ca="1" si="109"/>
        <v>No_Action</v>
      </c>
      <c r="X333" s="15"/>
      <c r="Y333" s="15" t="str">
        <f t="shared" ca="1" si="110"/>
        <v>No_Action</v>
      </c>
      <c r="Z333" s="15">
        <f t="shared" ca="1" si="111"/>
        <v>0</v>
      </c>
      <c r="AA333" s="15">
        <f t="shared" ca="1" si="112"/>
        <v>0</v>
      </c>
      <c r="AB333" s="15"/>
      <c r="AC333" s="15" t="str">
        <f t="shared" ca="1" si="113"/>
        <v>NoNo</v>
      </c>
      <c r="AD333" s="15"/>
      <c r="AE333" s="15">
        <f t="shared" ca="1" si="114"/>
        <v>0</v>
      </c>
      <c r="AF333" s="16">
        <f t="shared" ca="1" si="115"/>
        <v>0</v>
      </c>
      <c r="AG333" s="16" t="str">
        <f t="shared" ca="1" si="116"/>
        <v>No_Action</v>
      </c>
      <c r="AH333" s="15"/>
      <c r="AI333" s="15" t="str">
        <f t="shared" ca="1" si="117"/>
        <v>No_Action</v>
      </c>
      <c r="AJ333" s="15">
        <f t="shared" ca="1" si="118"/>
        <v>0</v>
      </c>
      <c r="AK333" s="15">
        <f t="shared" ca="1" si="119"/>
        <v>0</v>
      </c>
    </row>
    <row r="334" spans="1:37" ht="14.5" customHeight="1" x14ac:dyDescent="0.35">
      <c r="A334" s="12" t="s">
        <v>350</v>
      </c>
      <c r="B334" s="13">
        <f ca="1">IFERROR(__xludf.DUMMYFUNCTION("GOOGLEFINANCE(""NSE:""&amp;A334,""PRICE"")"),1124)</f>
        <v>1124</v>
      </c>
      <c r="C334" s="13">
        <f ca="1">IFERROR(__xludf.DUMMYFUNCTION("GOOGLEFINANCE(""NSE:""&amp;A334,""PRICEOPEN"")"),1140)</f>
        <v>1140</v>
      </c>
      <c r="D334" s="13">
        <f ca="1">IFERROR(__xludf.DUMMYFUNCTION("GOOGLEFINANCE(""NSE:""&amp;A334,""HIGH"")"),1148.9)</f>
        <v>1148.9000000000001</v>
      </c>
      <c r="E334" s="13">
        <f ca="1">IFERROR(__xludf.DUMMYFUNCTION("GOOGLEFINANCE(""NSE:""&amp;A334,""LOW"")"),1122.3)</f>
        <v>1122.3</v>
      </c>
      <c r="F334" s="13">
        <f ca="1">IFERROR(__xludf.DUMMYFUNCTION("GOOGLEFINANCE(""NSE:""&amp;A334,""closeyest"")"),1141.95)</f>
        <v>1141.95</v>
      </c>
      <c r="G334" s="14">
        <f t="shared" ca="1" si="100"/>
        <v>-1.4234875444839857E-2</v>
      </c>
      <c r="H334" s="13">
        <f ca="1">IFERROR(__xludf.DUMMYFUNCTION("GOOGLEFINANCE(""NSE:""&amp;A334,""VOLUME"")"),118932)</f>
        <v>118932</v>
      </c>
      <c r="I334" s="13" t="str">
        <f ca="1">IFERROR(__xludf.DUMMYFUNCTION("AVERAGE(index(GOOGLEFINANCE(""NSE:""&amp;$A334, ""volume"", today()-21, today()-1), , 2))"),"#N/A")</f>
        <v>#N/A</v>
      </c>
      <c r="J334" s="14" t="e">
        <f t="shared" ca="1" si="101"/>
        <v>#VALUE!</v>
      </c>
      <c r="K334" s="13" t="str">
        <f ca="1">IFERROR(__xludf.DUMMYFUNCTION("AVERAGE(index(GOOGLEFINANCE(""NSE:""&amp;$A334, ""close"", today()-6, today()-1), , 2))"),"#N/A")</f>
        <v>#N/A</v>
      </c>
      <c r="L334" s="13" t="str">
        <f ca="1">IFERROR(__xludf.DUMMYFUNCTION("AVERAGE(index(GOOGLEFINANCE(""NSE:""&amp;$A334, ""close"", today()-14, today()-1), , 2))"),"#N/A")</f>
        <v>#N/A</v>
      </c>
      <c r="M334" s="13" t="str">
        <f ca="1">IFERROR(__xludf.DUMMYFUNCTION("AVERAGE(index(GOOGLEFINANCE(""NSE:""&amp;$A334, ""close"", today()-22, today()-1), , 2))"),"#N/A")</f>
        <v>#N/A</v>
      </c>
      <c r="N334" s="13" t="str">
        <f t="shared" ca="1" si="102"/>
        <v>No_Action</v>
      </c>
      <c r="O334" s="13" t="str">
        <f t="shared" ca="1" si="103"/>
        <v>No_Action</v>
      </c>
      <c r="P334" s="13" t="str">
        <f t="shared" ca="1" si="104"/>
        <v>No_Action</v>
      </c>
      <c r="Q334" s="13" t="str">
        <f t="shared" ca="1" si="105"/>
        <v>No_Action</v>
      </c>
      <c r="R334" s="15"/>
      <c r="S334" s="15" t="str">
        <f t="shared" ca="1" si="106"/>
        <v>NoNo</v>
      </c>
      <c r="T334" s="15"/>
      <c r="U334" s="15">
        <f t="shared" ca="1" si="107"/>
        <v>0</v>
      </c>
      <c r="V334" s="15">
        <f t="shared" ca="1" si="108"/>
        <v>0</v>
      </c>
      <c r="W334" s="15" t="str">
        <f t="shared" ca="1" si="109"/>
        <v>No_Action</v>
      </c>
      <c r="X334" s="15"/>
      <c r="Y334" s="15" t="str">
        <f t="shared" ca="1" si="110"/>
        <v>No_Action</v>
      </c>
      <c r="Z334" s="15">
        <f t="shared" ca="1" si="111"/>
        <v>0</v>
      </c>
      <c r="AA334" s="15">
        <f t="shared" ca="1" si="112"/>
        <v>0</v>
      </c>
      <c r="AB334" s="15"/>
      <c r="AC334" s="15" t="str">
        <f t="shared" ca="1" si="113"/>
        <v>NoNo</v>
      </c>
      <c r="AD334" s="15"/>
      <c r="AE334" s="15">
        <f t="shared" ca="1" si="114"/>
        <v>0</v>
      </c>
      <c r="AF334" s="16">
        <f t="shared" ca="1" si="115"/>
        <v>0</v>
      </c>
      <c r="AG334" s="16" t="str">
        <f t="shared" ca="1" si="116"/>
        <v>No_Action</v>
      </c>
      <c r="AH334" s="15"/>
      <c r="AI334" s="15" t="str">
        <f t="shared" ca="1" si="117"/>
        <v>No_Action</v>
      </c>
      <c r="AJ334" s="15">
        <f t="shared" ca="1" si="118"/>
        <v>0</v>
      </c>
      <c r="AK334" s="15">
        <f t="shared" ca="1" si="119"/>
        <v>0</v>
      </c>
    </row>
    <row r="335" spans="1:37" ht="14.5" customHeight="1" x14ac:dyDescent="0.35">
      <c r="A335" s="12" t="s">
        <v>351</v>
      </c>
      <c r="B335" s="13">
        <f ca="1">IFERROR(__xludf.DUMMYFUNCTION("GOOGLEFINANCE(""NSE:""&amp;A335,""PRICE"")"),911.5)</f>
        <v>911.5</v>
      </c>
      <c r="C335" s="13">
        <f ca="1">IFERROR(__xludf.DUMMYFUNCTION("GOOGLEFINANCE(""NSE:""&amp;A335,""PRICEOPEN"")"),936.7)</f>
        <v>936.7</v>
      </c>
      <c r="D335" s="13">
        <f ca="1">IFERROR(__xludf.DUMMYFUNCTION("GOOGLEFINANCE(""NSE:""&amp;A335,""HIGH"")"),936.7)</f>
        <v>936.7</v>
      </c>
      <c r="E335" s="13">
        <f ca="1">IFERROR(__xludf.DUMMYFUNCTION("GOOGLEFINANCE(""NSE:""&amp;A335,""LOW"")"),906.65)</f>
        <v>906.65</v>
      </c>
      <c r="F335" s="13">
        <f ca="1">IFERROR(__xludf.DUMMYFUNCTION("GOOGLEFINANCE(""NSE:""&amp;A335,""closeyest"")"),936.7)</f>
        <v>936.7</v>
      </c>
      <c r="G335" s="14">
        <f t="shared" ca="1" si="100"/>
        <v>-2.7646736149204657E-2</v>
      </c>
      <c r="H335" s="13">
        <f ca="1">IFERROR(__xludf.DUMMYFUNCTION("GOOGLEFINANCE(""NSE:""&amp;A335,""VOLUME"")"),55352)</f>
        <v>55352</v>
      </c>
      <c r="I335" s="13" t="str">
        <f ca="1">IFERROR(__xludf.DUMMYFUNCTION("AVERAGE(index(GOOGLEFINANCE(""NSE:""&amp;$A335, ""volume"", today()-21, today()-1), , 2))"),"#N/A")</f>
        <v>#N/A</v>
      </c>
      <c r="J335" s="14" t="e">
        <f t="shared" ca="1" si="101"/>
        <v>#VALUE!</v>
      </c>
      <c r="K335" s="13" t="str">
        <f ca="1">IFERROR(__xludf.DUMMYFUNCTION("AVERAGE(index(GOOGLEFINANCE(""NSE:""&amp;$A335, ""close"", today()-6, today()-1), , 2))"),"#N/A")</f>
        <v>#N/A</v>
      </c>
      <c r="L335" s="13" t="str">
        <f ca="1">IFERROR(__xludf.DUMMYFUNCTION("AVERAGE(index(GOOGLEFINANCE(""NSE:""&amp;$A335, ""close"", today()-14, today()-1), , 2))"),"#N/A")</f>
        <v>#N/A</v>
      </c>
      <c r="M335" s="13" t="str">
        <f ca="1">IFERROR(__xludf.DUMMYFUNCTION("AVERAGE(index(GOOGLEFINANCE(""NSE:""&amp;$A335, ""close"", today()-22, today()-1), , 2))"),"#N/A")</f>
        <v>#N/A</v>
      </c>
      <c r="N335" s="13" t="str">
        <f t="shared" ca="1" si="102"/>
        <v>No_Action</v>
      </c>
      <c r="O335" s="13" t="str">
        <f t="shared" ca="1" si="103"/>
        <v>No_Action</v>
      </c>
      <c r="P335" s="13" t="str">
        <f t="shared" ca="1" si="104"/>
        <v>No_Action</v>
      </c>
      <c r="Q335" s="13" t="str">
        <f t="shared" ca="1" si="105"/>
        <v>No_Action</v>
      </c>
      <c r="R335" s="15"/>
      <c r="S335" s="15" t="str">
        <f t="shared" ca="1" si="106"/>
        <v>NoNo</v>
      </c>
      <c r="T335" s="15"/>
      <c r="U335" s="15">
        <f t="shared" ca="1" si="107"/>
        <v>0</v>
      </c>
      <c r="V335" s="15">
        <f t="shared" ca="1" si="108"/>
        <v>0</v>
      </c>
      <c r="W335" s="15" t="str">
        <f t="shared" ca="1" si="109"/>
        <v>No_Action</v>
      </c>
      <c r="X335" s="15"/>
      <c r="Y335" s="15" t="str">
        <f t="shared" ca="1" si="110"/>
        <v>No_Action</v>
      </c>
      <c r="Z335" s="15">
        <f t="shared" ca="1" si="111"/>
        <v>0</v>
      </c>
      <c r="AA335" s="15">
        <f t="shared" ca="1" si="112"/>
        <v>0</v>
      </c>
      <c r="AB335" s="15"/>
      <c r="AC335" s="15" t="str">
        <f t="shared" ca="1" si="113"/>
        <v>NoNo</v>
      </c>
      <c r="AD335" s="15"/>
      <c r="AE335" s="15">
        <f t="shared" ca="1" si="114"/>
        <v>0</v>
      </c>
      <c r="AF335" s="16">
        <f t="shared" ca="1" si="115"/>
        <v>0</v>
      </c>
      <c r="AG335" s="16" t="str">
        <f t="shared" ca="1" si="116"/>
        <v>No_Action</v>
      </c>
      <c r="AH335" s="15"/>
      <c r="AI335" s="15" t="str">
        <f t="shared" ca="1" si="117"/>
        <v>No_Action</v>
      </c>
      <c r="AJ335" s="15">
        <f t="shared" ca="1" si="118"/>
        <v>0</v>
      </c>
      <c r="AK335" s="15">
        <f t="shared" ca="1" si="119"/>
        <v>0</v>
      </c>
    </row>
    <row r="336" spans="1:37" ht="14.5" customHeight="1" x14ac:dyDescent="0.35">
      <c r="A336" s="12" t="s">
        <v>352</v>
      </c>
      <c r="B336" s="13">
        <f ca="1">IFERROR(__xludf.DUMMYFUNCTION("GOOGLEFINANCE(""NSE:""&amp;A336,""PRICE"")"),1815)</f>
        <v>1815</v>
      </c>
      <c r="C336" s="13">
        <f ca="1">IFERROR(__xludf.DUMMYFUNCTION("GOOGLEFINANCE(""NSE:""&amp;A336,""PRICEOPEN"")"),1839.35)</f>
        <v>1839.35</v>
      </c>
      <c r="D336" s="13">
        <f ca="1">IFERROR(__xludf.DUMMYFUNCTION("GOOGLEFINANCE(""NSE:""&amp;A336,""HIGH"")"),1848.9)</f>
        <v>1848.9</v>
      </c>
      <c r="E336" s="13">
        <f ca="1">IFERROR(__xludf.DUMMYFUNCTION("GOOGLEFINANCE(""NSE:""&amp;A336,""LOW"")"),1808)</f>
        <v>1808</v>
      </c>
      <c r="F336" s="13">
        <f ca="1">IFERROR(__xludf.DUMMYFUNCTION("GOOGLEFINANCE(""NSE:""&amp;A336,""closeyest"")"),1839.35)</f>
        <v>1839.35</v>
      </c>
      <c r="G336" s="14">
        <f t="shared" ca="1" si="100"/>
        <v>-1.3415977961432457E-2</v>
      </c>
      <c r="H336" s="13">
        <f ca="1">IFERROR(__xludf.DUMMYFUNCTION("GOOGLEFINANCE(""NSE:""&amp;A336,""VOLUME"")"),22987)</f>
        <v>22987</v>
      </c>
      <c r="I336" s="13" t="str">
        <f ca="1">IFERROR(__xludf.DUMMYFUNCTION("AVERAGE(index(GOOGLEFINANCE(""NSE:""&amp;$A336, ""volume"", today()-21, today()-1), , 2))"),"#N/A")</f>
        <v>#N/A</v>
      </c>
      <c r="J336" s="14" t="e">
        <f t="shared" ca="1" si="101"/>
        <v>#VALUE!</v>
      </c>
      <c r="K336" s="13" t="str">
        <f ca="1">IFERROR(__xludf.DUMMYFUNCTION("AVERAGE(index(GOOGLEFINANCE(""NSE:""&amp;$A336, ""close"", today()-6, today()-1), , 2))"),"#N/A")</f>
        <v>#N/A</v>
      </c>
      <c r="L336" s="13" t="str">
        <f ca="1">IFERROR(__xludf.DUMMYFUNCTION("AVERAGE(index(GOOGLEFINANCE(""NSE:""&amp;$A336, ""close"", today()-14, today()-1), , 2))"),"#N/A")</f>
        <v>#N/A</v>
      </c>
      <c r="M336" s="13" t="str">
        <f ca="1">IFERROR(__xludf.DUMMYFUNCTION("AVERAGE(index(GOOGLEFINANCE(""NSE:""&amp;$A336, ""close"", today()-22, today()-1), , 2))"),"#N/A")</f>
        <v>#N/A</v>
      </c>
      <c r="N336" s="13" t="str">
        <f t="shared" ca="1" si="102"/>
        <v>No_Action</v>
      </c>
      <c r="O336" s="13" t="str">
        <f t="shared" ca="1" si="103"/>
        <v>No_Action</v>
      </c>
      <c r="P336" s="13" t="str">
        <f t="shared" ca="1" si="104"/>
        <v>No_Action</v>
      </c>
      <c r="Q336" s="13" t="str">
        <f t="shared" ca="1" si="105"/>
        <v>No_Action</v>
      </c>
      <c r="R336" s="15"/>
      <c r="S336" s="15" t="str">
        <f t="shared" ca="1" si="106"/>
        <v>NoNo</v>
      </c>
      <c r="T336" s="15"/>
      <c r="U336" s="15">
        <f t="shared" ca="1" si="107"/>
        <v>0</v>
      </c>
      <c r="V336" s="15">
        <f t="shared" ca="1" si="108"/>
        <v>0</v>
      </c>
      <c r="W336" s="15" t="str">
        <f t="shared" ca="1" si="109"/>
        <v>No_Action</v>
      </c>
      <c r="X336" s="15"/>
      <c r="Y336" s="15" t="str">
        <f t="shared" ca="1" si="110"/>
        <v>No_Action</v>
      </c>
      <c r="Z336" s="15">
        <f t="shared" ca="1" si="111"/>
        <v>0</v>
      </c>
      <c r="AA336" s="15">
        <f t="shared" ca="1" si="112"/>
        <v>0</v>
      </c>
      <c r="AB336" s="15"/>
      <c r="AC336" s="15" t="str">
        <f t="shared" ca="1" si="113"/>
        <v>NoNo</v>
      </c>
      <c r="AD336" s="15"/>
      <c r="AE336" s="15">
        <f t="shared" ca="1" si="114"/>
        <v>0</v>
      </c>
      <c r="AF336" s="16">
        <f t="shared" ca="1" si="115"/>
        <v>0</v>
      </c>
      <c r="AG336" s="16" t="str">
        <f t="shared" ca="1" si="116"/>
        <v>No_Action</v>
      </c>
      <c r="AH336" s="15"/>
      <c r="AI336" s="15" t="str">
        <f t="shared" ca="1" si="117"/>
        <v>No_Action</v>
      </c>
      <c r="AJ336" s="15">
        <f t="shared" ca="1" si="118"/>
        <v>0</v>
      </c>
      <c r="AK336" s="15">
        <f t="shared" ca="1" si="119"/>
        <v>0</v>
      </c>
    </row>
    <row r="337" spans="1:37" ht="14.5" customHeight="1" x14ac:dyDescent="0.35">
      <c r="A337" s="12" t="s">
        <v>353</v>
      </c>
      <c r="B337" s="13">
        <f ca="1">IFERROR(__xludf.DUMMYFUNCTION("GOOGLEFINANCE(""NSE:""&amp;A337,""PRICE"")"),400)</f>
        <v>400</v>
      </c>
      <c r="C337" s="13">
        <f ca="1">IFERROR(__xludf.DUMMYFUNCTION("GOOGLEFINANCE(""NSE:""&amp;A337,""PRICEOPEN"")"),411.7)</f>
        <v>411.7</v>
      </c>
      <c r="D337" s="13">
        <f ca="1">IFERROR(__xludf.DUMMYFUNCTION("GOOGLEFINANCE(""NSE:""&amp;A337,""HIGH"")"),420.2)</f>
        <v>420.2</v>
      </c>
      <c r="E337" s="13">
        <f ca="1">IFERROR(__xludf.DUMMYFUNCTION("GOOGLEFINANCE(""NSE:""&amp;A337,""LOW"")"),398.8)</f>
        <v>398.8</v>
      </c>
      <c r="F337" s="13">
        <f ca="1">IFERROR(__xludf.DUMMYFUNCTION("GOOGLEFINANCE(""NSE:""&amp;A337,""closeyest"")"),412.2)</f>
        <v>412.2</v>
      </c>
      <c r="G337" s="14">
        <f t="shared" ca="1" si="100"/>
        <v>-2.924999999999997E-2</v>
      </c>
      <c r="H337" s="13">
        <f ca="1">IFERROR(__xludf.DUMMYFUNCTION("GOOGLEFINANCE(""NSE:""&amp;A337,""VOLUME"")"),205745)</f>
        <v>205745</v>
      </c>
      <c r="I337" s="13" t="str">
        <f ca="1">IFERROR(__xludf.DUMMYFUNCTION("AVERAGE(index(GOOGLEFINANCE(""NSE:""&amp;$A337, ""volume"", today()-21, today()-1), , 2))"),"#N/A")</f>
        <v>#N/A</v>
      </c>
      <c r="J337" s="14" t="e">
        <f t="shared" ca="1" si="101"/>
        <v>#VALUE!</v>
      </c>
      <c r="K337" s="13" t="str">
        <f ca="1">IFERROR(__xludf.DUMMYFUNCTION("AVERAGE(index(GOOGLEFINANCE(""NSE:""&amp;$A337, ""close"", today()-6, today()-1), , 2))"),"#N/A")</f>
        <v>#N/A</v>
      </c>
      <c r="L337" s="13" t="str">
        <f ca="1">IFERROR(__xludf.DUMMYFUNCTION("AVERAGE(index(GOOGLEFINANCE(""NSE:""&amp;$A337, ""close"", today()-14, today()-1), , 2))"),"#N/A")</f>
        <v>#N/A</v>
      </c>
      <c r="M337" s="13" t="str">
        <f ca="1">IFERROR(__xludf.DUMMYFUNCTION("AVERAGE(index(GOOGLEFINANCE(""NSE:""&amp;$A337, ""close"", today()-22, today()-1), , 2))"),"#N/A")</f>
        <v>#N/A</v>
      </c>
      <c r="N337" s="13" t="str">
        <f t="shared" ca="1" si="102"/>
        <v>No_Action</v>
      </c>
      <c r="O337" s="13" t="str">
        <f t="shared" ca="1" si="103"/>
        <v>No_Action</v>
      </c>
      <c r="P337" s="13" t="str">
        <f t="shared" ca="1" si="104"/>
        <v>No_Action</v>
      </c>
      <c r="Q337" s="13" t="str">
        <f t="shared" ca="1" si="105"/>
        <v>No_Action</v>
      </c>
      <c r="R337" s="15"/>
      <c r="S337" s="15" t="str">
        <f t="shared" ca="1" si="106"/>
        <v>NoNo</v>
      </c>
      <c r="T337" s="15"/>
      <c r="U337" s="15">
        <f t="shared" ca="1" si="107"/>
        <v>0</v>
      </c>
      <c r="V337" s="15">
        <f t="shared" ca="1" si="108"/>
        <v>0</v>
      </c>
      <c r="W337" s="15" t="str">
        <f t="shared" ca="1" si="109"/>
        <v>No_Action</v>
      </c>
      <c r="X337" s="15"/>
      <c r="Y337" s="15" t="str">
        <f t="shared" ca="1" si="110"/>
        <v>No_Action</v>
      </c>
      <c r="Z337" s="15">
        <f t="shared" ca="1" si="111"/>
        <v>0</v>
      </c>
      <c r="AA337" s="15">
        <f t="shared" ca="1" si="112"/>
        <v>0</v>
      </c>
      <c r="AB337" s="15"/>
      <c r="AC337" s="15" t="str">
        <f t="shared" ca="1" si="113"/>
        <v>NoNo</v>
      </c>
      <c r="AD337" s="15"/>
      <c r="AE337" s="15">
        <f t="shared" ca="1" si="114"/>
        <v>0</v>
      </c>
      <c r="AF337" s="16">
        <f t="shared" ca="1" si="115"/>
        <v>0</v>
      </c>
      <c r="AG337" s="16" t="str">
        <f t="shared" ca="1" si="116"/>
        <v>No_Action</v>
      </c>
      <c r="AH337" s="15"/>
      <c r="AI337" s="15" t="str">
        <f t="shared" ca="1" si="117"/>
        <v>No_Action</v>
      </c>
      <c r="AJ337" s="15">
        <f t="shared" ca="1" si="118"/>
        <v>0</v>
      </c>
      <c r="AK337" s="15">
        <f t="shared" ca="1" si="119"/>
        <v>0</v>
      </c>
    </row>
    <row r="338" spans="1:37" ht="14.5" customHeight="1" x14ac:dyDescent="0.35">
      <c r="A338" s="12" t="s">
        <v>354</v>
      </c>
      <c r="B338" s="13">
        <f ca="1">IFERROR(__xludf.DUMMYFUNCTION("GOOGLEFINANCE(""NSE:""&amp;A338,""PRICE"")"),1762.95)</f>
        <v>1762.95</v>
      </c>
      <c r="C338" s="13">
        <f ca="1">IFERROR(__xludf.DUMMYFUNCTION("GOOGLEFINANCE(""NSE:""&amp;A338,""PRICEOPEN"")"),1714.1)</f>
        <v>1714.1</v>
      </c>
      <c r="D338" s="13">
        <f ca="1">IFERROR(__xludf.DUMMYFUNCTION("GOOGLEFINANCE(""NSE:""&amp;A338,""HIGH"")"),1767)</f>
        <v>1767</v>
      </c>
      <c r="E338" s="13">
        <f ca="1">IFERROR(__xludf.DUMMYFUNCTION("GOOGLEFINANCE(""NSE:""&amp;A338,""LOW"")"),1713.45)</f>
        <v>1713.45</v>
      </c>
      <c r="F338" s="13">
        <f ca="1">IFERROR(__xludf.DUMMYFUNCTION("GOOGLEFINANCE(""NSE:""&amp;A338,""closeyest"")"),1710.9)</f>
        <v>1710.9</v>
      </c>
      <c r="G338" s="14">
        <f t="shared" ca="1" si="100"/>
        <v>2.7709237357837792E-2</v>
      </c>
      <c r="H338" s="13">
        <f ca="1">IFERROR(__xludf.DUMMYFUNCTION("GOOGLEFINANCE(""NSE:""&amp;A338,""VOLUME"")"),1382138)</f>
        <v>1382138</v>
      </c>
      <c r="I338" s="13" t="str">
        <f ca="1">IFERROR(__xludf.DUMMYFUNCTION("AVERAGE(index(GOOGLEFINANCE(""NSE:""&amp;$A338, ""volume"", today()-21, today()-1), , 2))"),"#N/A")</f>
        <v>#N/A</v>
      </c>
      <c r="J338" s="14" t="e">
        <f t="shared" ca="1" si="101"/>
        <v>#VALUE!</v>
      </c>
      <c r="K338" s="13" t="str">
        <f ca="1">IFERROR(__xludf.DUMMYFUNCTION("AVERAGE(index(GOOGLEFINANCE(""NSE:""&amp;$A338, ""close"", today()-6, today()-1), , 2))"),"#N/A")</f>
        <v>#N/A</v>
      </c>
      <c r="L338" s="13" t="str">
        <f ca="1">IFERROR(__xludf.DUMMYFUNCTION("AVERAGE(index(GOOGLEFINANCE(""NSE:""&amp;$A338, ""close"", today()-14, today()-1), , 2))"),"#N/A")</f>
        <v>#N/A</v>
      </c>
      <c r="M338" s="13" t="str">
        <f ca="1">IFERROR(__xludf.DUMMYFUNCTION("AVERAGE(index(GOOGLEFINANCE(""NSE:""&amp;$A338, ""close"", today()-22, today()-1), , 2))"),"#N/A")</f>
        <v>#N/A</v>
      </c>
      <c r="N338" s="13" t="str">
        <f t="shared" ca="1" si="102"/>
        <v>No_Action</v>
      </c>
      <c r="O338" s="13" t="str">
        <f t="shared" ca="1" si="103"/>
        <v>No_Action</v>
      </c>
      <c r="P338" s="13" t="str">
        <f t="shared" ca="1" si="104"/>
        <v>No_Action</v>
      </c>
      <c r="Q338" s="13" t="str">
        <f t="shared" ca="1" si="105"/>
        <v>No_Action</v>
      </c>
      <c r="R338" s="15"/>
      <c r="S338" s="15" t="str">
        <f t="shared" ca="1" si="106"/>
        <v>NoNo</v>
      </c>
      <c r="T338" s="15"/>
      <c r="U338" s="15">
        <f t="shared" ca="1" si="107"/>
        <v>0</v>
      </c>
      <c r="V338" s="15">
        <f t="shared" ca="1" si="108"/>
        <v>0</v>
      </c>
      <c r="W338" s="15" t="str">
        <f t="shared" ca="1" si="109"/>
        <v>No_Action</v>
      </c>
      <c r="X338" s="15"/>
      <c r="Y338" s="15" t="str">
        <f t="shared" ca="1" si="110"/>
        <v>No_Action</v>
      </c>
      <c r="Z338" s="15">
        <f t="shared" ca="1" si="111"/>
        <v>0</v>
      </c>
      <c r="AA338" s="15">
        <f t="shared" ca="1" si="112"/>
        <v>0</v>
      </c>
      <c r="AB338" s="15"/>
      <c r="AC338" s="15" t="str">
        <f t="shared" ca="1" si="113"/>
        <v>NoNo</v>
      </c>
      <c r="AD338" s="15"/>
      <c r="AE338" s="15">
        <f t="shared" ca="1" si="114"/>
        <v>0</v>
      </c>
      <c r="AF338" s="16">
        <f t="shared" ca="1" si="115"/>
        <v>0</v>
      </c>
      <c r="AG338" s="16" t="str">
        <f t="shared" ca="1" si="116"/>
        <v>No_Action</v>
      </c>
      <c r="AH338" s="15"/>
      <c r="AI338" s="15" t="str">
        <f t="shared" ca="1" si="117"/>
        <v>No_Action</v>
      </c>
      <c r="AJ338" s="15">
        <f t="shared" ca="1" si="118"/>
        <v>0</v>
      </c>
      <c r="AK338" s="15">
        <f t="shared" ca="1" si="119"/>
        <v>0</v>
      </c>
    </row>
    <row r="339" spans="1:37" ht="14.5" customHeight="1" x14ac:dyDescent="0.35">
      <c r="A339" s="12" t="s">
        <v>355</v>
      </c>
      <c r="B339" s="13">
        <f ca="1">IFERROR(__xludf.DUMMYFUNCTION("GOOGLEFINANCE(""NSE:""&amp;A339,""PRICE"")"),323.4)</f>
        <v>323.39999999999998</v>
      </c>
      <c r="C339" s="13">
        <f ca="1">IFERROR(__xludf.DUMMYFUNCTION("GOOGLEFINANCE(""NSE:""&amp;A339,""PRICEOPEN"")"),326.95)</f>
        <v>326.95</v>
      </c>
      <c r="D339" s="13">
        <f ca="1">IFERROR(__xludf.DUMMYFUNCTION("GOOGLEFINANCE(""NSE:""&amp;A339,""HIGH"")"),327)</f>
        <v>327</v>
      </c>
      <c r="E339" s="13">
        <f ca="1">IFERROR(__xludf.DUMMYFUNCTION("GOOGLEFINANCE(""NSE:""&amp;A339,""LOW"")"),322.2)</f>
        <v>322.2</v>
      </c>
      <c r="F339" s="13">
        <f ca="1">IFERROR(__xludf.DUMMYFUNCTION("GOOGLEFINANCE(""NSE:""&amp;A339,""closeyest"")"),323.6)</f>
        <v>323.60000000000002</v>
      </c>
      <c r="G339" s="14">
        <f t="shared" ca="1" si="100"/>
        <v>-1.0977118119975298E-2</v>
      </c>
      <c r="H339" s="13">
        <f ca="1">IFERROR(__xludf.DUMMYFUNCTION("GOOGLEFINANCE(""NSE:""&amp;A339,""VOLUME"")"),144664)</f>
        <v>144664</v>
      </c>
      <c r="I339" s="13" t="str">
        <f ca="1">IFERROR(__xludf.DUMMYFUNCTION("AVERAGE(index(GOOGLEFINANCE(""NSE:""&amp;$A339, ""volume"", today()-21, today()-1), , 2))"),"#N/A")</f>
        <v>#N/A</v>
      </c>
      <c r="J339" s="14" t="e">
        <f t="shared" ca="1" si="101"/>
        <v>#VALUE!</v>
      </c>
      <c r="K339" s="13" t="str">
        <f ca="1">IFERROR(__xludf.DUMMYFUNCTION("AVERAGE(index(GOOGLEFINANCE(""NSE:""&amp;$A339, ""close"", today()-6, today()-1), , 2))"),"#N/A")</f>
        <v>#N/A</v>
      </c>
      <c r="L339" s="13" t="str">
        <f ca="1">IFERROR(__xludf.DUMMYFUNCTION("AVERAGE(index(GOOGLEFINANCE(""NSE:""&amp;$A339, ""close"", today()-14, today()-1), , 2))"),"#N/A")</f>
        <v>#N/A</v>
      </c>
      <c r="M339" s="13" t="str">
        <f ca="1">IFERROR(__xludf.DUMMYFUNCTION("AVERAGE(index(GOOGLEFINANCE(""NSE:""&amp;$A339, ""close"", today()-22, today()-1), , 2))"),"#N/A")</f>
        <v>#N/A</v>
      </c>
      <c r="N339" s="13" t="str">
        <f t="shared" ca="1" si="102"/>
        <v>No_Action</v>
      </c>
      <c r="O339" s="13" t="str">
        <f t="shared" ca="1" si="103"/>
        <v>No_Action</v>
      </c>
      <c r="P339" s="13" t="str">
        <f t="shared" ca="1" si="104"/>
        <v>No_Action</v>
      </c>
      <c r="Q339" s="13" t="str">
        <f t="shared" ca="1" si="105"/>
        <v>No_Action</v>
      </c>
      <c r="R339" s="15"/>
      <c r="S339" s="15" t="str">
        <f t="shared" ca="1" si="106"/>
        <v>NoNo</v>
      </c>
      <c r="T339" s="15"/>
      <c r="U339" s="15">
        <f t="shared" ca="1" si="107"/>
        <v>0</v>
      </c>
      <c r="V339" s="15">
        <f t="shared" ca="1" si="108"/>
        <v>0</v>
      </c>
      <c r="W339" s="15" t="str">
        <f t="shared" ca="1" si="109"/>
        <v>No_Action</v>
      </c>
      <c r="X339" s="15"/>
      <c r="Y339" s="15" t="str">
        <f t="shared" ca="1" si="110"/>
        <v>No_Action</v>
      </c>
      <c r="Z339" s="15">
        <f t="shared" ca="1" si="111"/>
        <v>0</v>
      </c>
      <c r="AA339" s="15">
        <f t="shared" ca="1" si="112"/>
        <v>0</v>
      </c>
      <c r="AB339" s="15"/>
      <c r="AC339" s="15" t="str">
        <f t="shared" ca="1" si="113"/>
        <v>NoNo</v>
      </c>
      <c r="AD339" s="15"/>
      <c r="AE339" s="15">
        <f t="shared" ca="1" si="114"/>
        <v>0</v>
      </c>
      <c r="AF339" s="16">
        <f t="shared" ca="1" si="115"/>
        <v>0</v>
      </c>
      <c r="AG339" s="16" t="str">
        <f t="shared" ca="1" si="116"/>
        <v>No_Action</v>
      </c>
      <c r="AH339" s="15"/>
      <c r="AI339" s="15" t="str">
        <f t="shared" ca="1" si="117"/>
        <v>No_Action</v>
      </c>
      <c r="AJ339" s="15">
        <f t="shared" ca="1" si="118"/>
        <v>0</v>
      </c>
      <c r="AK339" s="15">
        <f t="shared" ca="1" si="119"/>
        <v>0</v>
      </c>
    </row>
    <row r="340" spans="1:37" ht="14.5" customHeight="1" x14ac:dyDescent="0.35">
      <c r="A340" s="12" t="s">
        <v>356</v>
      </c>
      <c r="B340" s="13">
        <f ca="1">IFERROR(__xludf.DUMMYFUNCTION("GOOGLEFINANCE(""NSE:""&amp;A340,""PRICE"")"),173.6)</f>
        <v>173.6</v>
      </c>
      <c r="C340" s="13">
        <f ca="1">IFERROR(__xludf.DUMMYFUNCTION("GOOGLEFINANCE(""NSE:""&amp;A340,""PRICEOPEN"")"),165.45)</f>
        <v>165.45</v>
      </c>
      <c r="D340" s="13">
        <f ca="1">IFERROR(__xludf.DUMMYFUNCTION("GOOGLEFINANCE(""NSE:""&amp;A340,""HIGH"")"),175)</f>
        <v>175</v>
      </c>
      <c r="E340" s="13">
        <f ca="1">IFERROR(__xludf.DUMMYFUNCTION("GOOGLEFINANCE(""NSE:""&amp;A340,""LOW"")"),165.16)</f>
        <v>165.16</v>
      </c>
      <c r="F340" s="13">
        <f ca="1">IFERROR(__xludf.DUMMYFUNCTION("GOOGLEFINANCE(""NSE:""&amp;A340,""closeyest"")"),164.16)</f>
        <v>164.16</v>
      </c>
      <c r="G340" s="14">
        <f t="shared" ca="1" si="100"/>
        <v>4.6947004608294964E-2</v>
      </c>
      <c r="H340" s="13">
        <f ca="1">IFERROR(__xludf.DUMMYFUNCTION("GOOGLEFINANCE(""NSE:""&amp;A340,""VOLUME"")"),14603217)</f>
        <v>14603217</v>
      </c>
      <c r="I340" s="13" t="str">
        <f ca="1">IFERROR(__xludf.DUMMYFUNCTION("AVERAGE(index(GOOGLEFINANCE(""NSE:""&amp;$A340, ""volume"", today()-21, today()-1), , 2))"),"#N/A")</f>
        <v>#N/A</v>
      </c>
      <c r="J340" s="14" t="e">
        <f t="shared" ca="1" si="101"/>
        <v>#VALUE!</v>
      </c>
      <c r="K340" s="13" t="str">
        <f ca="1">IFERROR(__xludf.DUMMYFUNCTION("AVERAGE(index(GOOGLEFINANCE(""NSE:""&amp;$A340, ""close"", today()-6, today()-1), , 2))"),"#N/A")</f>
        <v>#N/A</v>
      </c>
      <c r="L340" s="13" t="str">
        <f ca="1">IFERROR(__xludf.DUMMYFUNCTION("AVERAGE(index(GOOGLEFINANCE(""NSE:""&amp;$A340, ""close"", today()-14, today()-1), , 2))"),"#N/A")</f>
        <v>#N/A</v>
      </c>
      <c r="M340" s="13" t="str">
        <f ca="1">IFERROR(__xludf.DUMMYFUNCTION("AVERAGE(index(GOOGLEFINANCE(""NSE:""&amp;$A340, ""close"", today()-22, today()-1), , 2))"),"#N/A")</f>
        <v>#N/A</v>
      </c>
      <c r="N340" s="13" t="str">
        <f t="shared" ca="1" si="102"/>
        <v>No_Action</v>
      </c>
      <c r="O340" s="13" t="str">
        <f t="shared" ca="1" si="103"/>
        <v>No_Action</v>
      </c>
      <c r="P340" s="13" t="str">
        <f t="shared" ca="1" si="104"/>
        <v>No_Action</v>
      </c>
      <c r="Q340" s="13" t="str">
        <f t="shared" ca="1" si="105"/>
        <v>No_Action</v>
      </c>
      <c r="R340" s="15"/>
      <c r="S340" s="15" t="str">
        <f t="shared" ca="1" si="106"/>
        <v>NoNo</v>
      </c>
      <c r="T340" s="15"/>
      <c r="U340" s="15">
        <f t="shared" ca="1" si="107"/>
        <v>0</v>
      </c>
      <c r="V340" s="15">
        <f t="shared" ca="1" si="108"/>
        <v>0</v>
      </c>
      <c r="W340" s="15" t="str">
        <f t="shared" ca="1" si="109"/>
        <v>No_Action</v>
      </c>
      <c r="X340" s="15"/>
      <c r="Y340" s="15" t="str">
        <f t="shared" ca="1" si="110"/>
        <v>No_Action</v>
      </c>
      <c r="Z340" s="15">
        <f t="shared" ca="1" si="111"/>
        <v>0</v>
      </c>
      <c r="AA340" s="15">
        <f t="shared" ca="1" si="112"/>
        <v>0</v>
      </c>
      <c r="AB340" s="15"/>
      <c r="AC340" s="15" t="str">
        <f t="shared" ca="1" si="113"/>
        <v>NoNo</v>
      </c>
      <c r="AD340" s="15"/>
      <c r="AE340" s="15">
        <f t="shared" ca="1" si="114"/>
        <v>0</v>
      </c>
      <c r="AF340" s="16">
        <f t="shared" ca="1" si="115"/>
        <v>0</v>
      </c>
      <c r="AG340" s="16" t="str">
        <f t="shared" ca="1" si="116"/>
        <v>No_Action</v>
      </c>
      <c r="AH340" s="15"/>
      <c r="AI340" s="15" t="str">
        <f t="shared" ca="1" si="117"/>
        <v>No_Action</v>
      </c>
      <c r="AJ340" s="15">
        <f t="shared" ca="1" si="118"/>
        <v>0</v>
      </c>
      <c r="AK340" s="15">
        <f t="shared" ca="1" si="119"/>
        <v>0</v>
      </c>
    </row>
    <row r="341" spans="1:37" ht="14.5" customHeight="1" x14ac:dyDescent="0.35">
      <c r="A341" s="12" t="s">
        <v>357</v>
      </c>
      <c r="B341" s="13">
        <f ca="1">IFERROR(__xludf.DUMMYFUNCTION("GOOGLEFINANCE(""NSE:""&amp;A341,""PRICE"")"),16297.95)</f>
        <v>16297.95</v>
      </c>
      <c r="C341" s="13">
        <f ca="1">IFERROR(__xludf.DUMMYFUNCTION("GOOGLEFINANCE(""NSE:""&amp;A341,""PRICEOPEN"")"),15711.5)</f>
        <v>15711.5</v>
      </c>
      <c r="D341" s="13">
        <f ca="1">IFERROR(__xludf.DUMMYFUNCTION("GOOGLEFINANCE(""NSE:""&amp;A341,""HIGH"")"),16376)</f>
        <v>16376</v>
      </c>
      <c r="E341" s="13">
        <f ca="1">IFERROR(__xludf.DUMMYFUNCTION("GOOGLEFINANCE(""NSE:""&amp;A341,""LOW"")"),15395.55)</f>
        <v>15395.55</v>
      </c>
      <c r="F341" s="13">
        <f ca="1">IFERROR(__xludf.DUMMYFUNCTION("GOOGLEFINANCE(""NSE:""&amp;A341,""closeyest"")"),15866.9)</f>
        <v>15866.9</v>
      </c>
      <c r="G341" s="14">
        <f t="shared" ca="1" si="100"/>
        <v>3.5983053083363289E-2</v>
      </c>
      <c r="H341" s="13">
        <f ca="1">IFERROR(__xludf.DUMMYFUNCTION("GOOGLEFINANCE(""NSE:""&amp;A341,""VOLUME"")"),739)</f>
        <v>739</v>
      </c>
      <c r="I341" s="13" t="str">
        <f ca="1">IFERROR(__xludf.DUMMYFUNCTION("AVERAGE(index(GOOGLEFINANCE(""NSE:""&amp;$A341, ""volume"", today()-21, today()-1), , 2))"),"#N/A")</f>
        <v>#N/A</v>
      </c>
      <c r="J341" s="14" t="e">
        <f t="shared" ca="1" si="101"/>
        <v>#VALUE!</v>
      </c>
      <c r="K341" s="13" t="str">
        <f ca="1">IFERROR(__xludf.DUMMYFUNCTION("AVERAGE(index(GOOGLEFINANCE(""NSE:""&amp;$A341, ""close"", today()-6, today()-1), , 2))"),"#N/A")</f>
        <v>#N/A</v>
      </c>
      <c r="L341" s="13" t="str">
        <f ca="1">IFERROR(__xludf.DUMMYFUNCTION("AVERAGE(index(GOOGLEFINANCE(""NSE:""&amp;$A341, ""close"", today()-14, today()-1), , 2))"),"#N/A")</f>
        <v>#N/A</v>
      </c>
      <c r="M341" s="13" t="str">
        <f ca="1">IFERROR(__xludf.DUMMYFUNCTION("AVERAGE(index(GOOGLEFINANCE(""NSE:""&amp;$A341, ""close"", today()-22, today()-1), , 2))"),"#N/A")</f>
        <v>#N/A</v>
      </c>
      <c r="N341" s="13" t="str">
        <f t="shared" ca="1" si="102"/>
        <v>No_Action</v>
      </c>
      <c r="O341" s="13" t="str">
        <f t="shared" ca="1" si="103"/>
        <v>No_Action</v>
      </c>
      <c r="P341" s="13" t="str">
        <f t="shared" ca="1" si="104"/>
        <v>No_Action</v>
      </c>
      <c r="Q341" s="13" t="str">
        <f t="shared" ca="1" si="105"/>
        <v>No_Action</v>
      </c>
      <c r="R341" s="15"/>
      <c r="S341" s="15" t="str">
        <f t="shared" ca="1" si="106"/>
        <v>NoNo</v>
      </c>
      <c r="T341" s="15"/>
      <c r="U341" s="15">
        <f t="shared" ca="1" si="107"/>
        <v>0</v>
      </c>
      <c r="V341" s="15">
        <f t="shared" ca="1" si="108"/>
        <v>0</v>
      </c>
      <c r="W341" s="15" t="str">
        <f t="shared" ca="1" si="109"/>
        <v>No_Action</v>
      </c>
      <c r="X341" s="15"/>
      <c r="Y341" s="15" t="str">
        <f t="shared" ca="1" si="110"/>
        <v>No_Action</v>
      </c>
      <c r="Z341" s="15">
        <f t="shared" ca="1" si="111"/>
        <v>0</v>
      </c>
      <c r="AA341" s="15">
        <f t="shared" ca="1" si="112"/>
        <v>0</v>
      </c>
      <c r="AB341" s="15"/>
      <c r="AC341" s="15" t="str">
        <f t="shared" ca="1" si="113"/>
        <v>NoNo</v>
      </c>
      <c r="AD341" s="15"/>
      <c r="AE341" s="15">
        <f t="shared" ca="1" si="114"/>
        <v>0</v>
      </c>
      <c r="AF341" s="16">
        <f t="shared" ca="1" si="115"/>
        <v>0</v>
      </c>
      <c r="AG341" s="16" t="str">
        <f t="shared" ca="1" si="116"/>
        <v>No_Action</v>
      </c>
      <c r="AH341" s="15"/>
      <c r="AI341" s="15" t="str">
        <f t="shared" ca="1" si="117"/>
        <v>No_Action</v>
      </c>
      <c r="AJ341" s="15">
        <f t="shared" ca="1" si="118"/>
        <v>0</v>
      </c>
      <c r="AK341" s="15">
        <f t="shared" ca="1" si="119"/>
        <v>0</v>
      </c>
    </row>
    <row r="342" spans="1:37" ht="14.5" customHeight="1" x14ac:dyDescent="0.35">
      <c r="A342" s="12" t="s">
        <v>358</v>
      </c>
      <c r="B342" s="13">
        <f ca="1">IFERROR(__xludf.DUMMYFUNCTION("GOOGLEFINANCE(""NSE:""&amp;A342,""PRICE"")"),617.8)</f>
        <v>617.79999999999995</v>
      </c>
      <c r="C342" s="13">
        <f ca="1">IFERROR(__xludf.DUMMYFUNCTION("GOOGLEFINANCE(""NSE:""&amp;A342,""PRICEOPEN"")"),638.3)</f>
        <v>638.29999999999995</v>
      </c>
      <c r="D342" s="13">
        <f ca="1">IFERROR(__xludf.DUMMYFUNCTION("GOOGLEFINANCE(""NSE:""&amp;A342,""HIGH"")"),638.85)</f>
        <v>638.85</v>
      </c>
      <c r="E342" s="13">
        <f ca="1">IFERROR(__xludf.DUMMYFUNCTION("GOOGLEFINANCE(""NSE:""&amp;A342,""LOW"")"),612.5)</f>
        <v>612.5</v>
      </c>
      <c r="F342" s="13">
        <f ca="1">IFERROR(__xludf.DUMMYFUNCTION("GOOGLEFINANCE(""NSE:""&amp;A342,""closeyest"")"),632.15)</f>
        <v>632.15</v>
      </c>
      <c r="G342" s="14">
        <f t="shared" ca="1" si="100"/>
        <v>-3.3182259630948528E-2</v>
      </c>
      <c r="H342" s="13">
        <f ca="1">IFERROR(__xludf.DUMMYFUNCTION("GOOGLEFINANCE(""NSE:""&amp;A342,""VOLUME"")"),125109)</f>
        <v>125109</v>
      </c>
      <c r="I342" s="13" t="str">
        <f ca="1">IFERROR(__xludf.DUMMYFUNCTION("AVERAGE(index(GOOGLEFINANCE(""NSE:""&amp;$A342, ""volume"", today()-21, today()-1), , 2))"),"#N/A")</f>
        <v>#N/A</v>
      </c>
      <c r="J342" s="14" t="e">
        <f t="shared" ca="1" si="101"/>
        <v>#VALUE!</v>
      </c>
      <c r="K342" s="13" t="str">
        <f ca="1">IFERROR(__xludf.DUMMYFUNCTION("AVERAGE(index(GOOGLEFINANCE(""NSE:""&amp;$A342, ""close"", today()-6, today()-1), , 2))"),"#N/A")</f>
        <v>#N/A</v>
      </c>
      <c r="L342" s="13" t="str">
        <f ca="1">IFERROR(__xludf.DUMMYFUNCTION("AVERAGE(index(GOOGLEFINANCE(""NSE:""&amp;$A342, ""close"", today()-14, today()-1), , 2))"),"#N/A")</f>
        <v>#N/A</v>
      </c>
      <c r="M342" s="13" t="str">
        <f ca="1">IFERROR(__xludf.DUMMYFUNCTION("AVERAGE(index(GOOGLEFINANCE(""NSE:""&amp;$A342, ""close"", today()-22, today()-1), , 2))"),"#N/A")</f>
        <v>#N/A</v>
      </c>
      <c r="N342" s="13" t="str">
        <f t="shared" ca="1" si="102"/>
        <v>No_Action</v>
      </c>
      <c r="O342" s="13" t="str">
        <f t="shared" ca="1" si="103"/>
        <v>No_Action</v>
      </c>
      <c r="P342" s="13" t="str">
        <f t="shared" ca="1" si="104"/>
        <v>No_Action</v>
      </c>
      <c r="Q342" s="13" t="str">
        <f t="shared" ca="1" si="105"/>
        <v>No_Action</v>
      </c>
      <c r="R342" s="15"/>
      <c r="S342" s="15" t="str">
        <f t="shared" ca="1" si="106"/>
        <v>NoNo</v>
      </c>
      <c r="T342" s="15"/>
      <c r="U342" s="15">
        <f t="shared" ca="1" si="107"/>
        <v>0</v>
      </c>
      <c r="V342" s="15">
        <f t="shared" ca="1" si="108"/>
        <v>0</v>
      </c>
      <c r="W342" s="15" t="str">
        <f t="shared" ca="1" si="109"/>
        <v>No_Action</v>
      </c>
      <c r="X342" s="15"/>
      <c r="Y342" s="15" t="str">
        <f t="shared" ca="1" si="110"/>
        <v>No_Action</v>
      </c>
      <c r="Z342" s="15">
        <f t="shared" ca="1" si="111"/>
        <v>0</v>
      </c>
      <c r="AA342" s="15">
        <f t="shared" ca="1" si="112"/>
        <v>0</v>
      </c>
      <c r="AB342" s="15"/>
      <c r="AC342" s="15" t="str">
        <f t="shared" ca="1" si="113"/>
        <v>NoNo</v>
      </c>
      <c r="AD342" s="15"/>
      <c r="AE342" s="15">
        <f t="shared" ca="1" si="114"/>
        <v>0</v>
      </c>
      <c r="AF342" s="16">
        <f t="shared" ca="1" si="115"/>
        <v>0</v>
      </c>
      <c r="AG342" s="16" t="str">
        <f t="shared" ca="1" si="116"/>
        <v>No_Action</v>
      </c>
      <c r="AH342" s="15"/>
      <c r="AI342" s="15" t="str">
        <f t="shared" ca="1" si="117"/>
        <v>No_Action</v>
      </c>
      <c r="AJ342" s="15">
        <f t="shared" ca="1" si="118"/>
        <v>0</v>
      </c>
      <c r="AK342" s="15">
        <f t="shared" ca="1" si="119"/>
        <v>0</v>
      </c>
    </row>
    <row r="343" spans="1:37" ht="14.5" customHeight="1" x14ac:dyDescent="0.35">
      <c r="A343" s="12" t="s">
        <v>359</v>
      </c>
      <c r="B343" s="13">
        <f ca="1">IFERROR(__xludf.DUMMYFUNCTION("GOOGLEFINANCE(""NSE:""&amp;A343,""PRICE"")"),1548.9)</f>
        <v>1548.9</v>
      </c>
      <c r="C343" s="13">
        <f ca="1">IFERROR(__xludf.DUMMYFUNCTION("GOOGLEFINANCE(""NSE:""&amp;A343,""PRICEOPEN"")"),1593.55)</f>
        <v>1593.55</v>
      </c>
      <c r="D343" s="13">
        <f ca="1">IFERROR(__xludf.DUMMYFUNCTION("GOOGLEFINANCE(""NSE:""&amp;A343,""HIGH"")"),1610.05)</f>
        <v>1610.05</v>
      </c>
      <c r="E343" s="13">
        <f ca="1">IFERROR(__xludf.DUMMYFUNCTION("GOOGLEFINANCE(""NSE:""&amp;A343,""LOW"")"),1540.2)</f>
        <v>1540.2</v>
      </c>
      <c r="F343" s="13">
        <f ca="1">IFERROR(__xludf.DUMMYFUNCTION("GOOGLEFINANCE(""NSE:""&amp;A343,""closeyest"")"),1593.55)</f>
        <v>1593.55</v>
      </c>
      <c r="G343" s="14">
        <f t="shared" ca="1" si="100"/>
        <v>-2.8826909419588004E-2</v>
      </c>
      <c r="H343" s="13">
        <f ca="1">IFERROR(__xludf.DUMMYFUNCTION("GOOGLEFINANCE(""NSE:""&amp;A343,""VOLUME"")"),49957)</f>
        <v>49957</v>
      </c>
      <c r="I343" s="13" t="str">
        <f ca="1">IFERROR(__xludf.DUMMYFUNCTION("AVERAGE(index(GOOGLEFINANCE(""NSE:""&amp;$A343, ""volume"", today()-21, today()-1), , 2))"),"#N/A")</f>
        <v>#N/A</v>
      </c>
      <c r="J343" s="14" t="e">
        <f t="shared" ca="1" si="101"/>
        <v>#VALUE!</v>
      </c>
      <c r="K343" s="13" t="str">
        <f ca="1">IFERROR(__xludf.DUMMYFUNCTION("AVERAGE(index(GOOGLEFINANCE(""NSE:""&amp;$A343, ""close"", today()-6, today()-1), , 2))"),"#N/A")</f>
        <v>#N/A</v>
      </c>
      <c r="L343" s="13" t="str">
        <f ca="1">IFERROR(__xludf.DUMMYFUNCTION("AVERAGE(index(GOOGLEFINANCE(""NSE:""&amp;$A343, ""close"", today()-14, today()-1), , 2))"),"#N/A")</f>
        <v>#N/A</v>
      </c>
      <c r="M343" s="13" t="str">
        <f ca="1">IFERROR(__xludf.DUMMYFUNCTION("AVERAGE(index(GOOGLEFINANCE(""NSE:""&amp;$A343, ""close"", today()-22, today()-1), , 2))"),"#N/A")</f>
        <v>#N/A</v>
      </c>
      <c r="N343" s="13" t="str">
        <f t="shared" ca="1" si="102"/>
        <v>No_Action</v>
      </c>
      <c r="O343" s="13" t="str">
        <f t="shared" ca="1" si="103"/>
        <v>No_Action</v>
      </c>
      <c r="P343" s="13" t="str">
        <f t="shared" ca="1" si="104"/>
        <v>No_Action</v>
      </c>
      <c r="Q343" s="13" t="str">
        <f t="shared" ca="1" si="105"/>
        <v>No_Action</v>
      </c>
      <c r="R343" s="15"/>
      <c r="S343" s="15" t="str">
        <f t="shared" ca="1" si="106"/>
        <v>NoNo</v>
      </c>
      <c r="T343" s="15"/>
      <c r="U343" s="15">
        <f t="shared" ca="1" si="107"/>
        <v>0</v>
      </c>
      <c r="V343" s="15">
        <f t="shared" ca="1" si="108"/>
        <v>0</v>
      </c>
      <c r="W343" s="15" t="str">
        <f t="shared" ca="1" si="109"/>
        <v>No_Action</v>
      </c>
      <c r="X343" s="15"/>
      <c r="Y343" s="15" t="str">
        <f t="shared" ca="1" si="110"/>
        <v>No_Action</v>
      </c>
      <c r="Z343" s="15">
        <f t="shared" ca="1" si="111"/>
        <v>0</v>
      </c>
      <c r="AA343" s="15">
        <f t="shared" ca="1" si="112"/>
        <v>0</v>
      </c>
      <c r="AB343" s="15"/>
      <c r="AC343" s="15" t="str">
        <f t="shared" ca="1" si="113"/>
        <v>NoNo</v>
      </c>
      <c r="AD343" s="15"/>
      <c r="AE343" s="15">
        <f t="shared" ca="1" si="114"/>
        <v>0</v>
      </c>
      <c r="AF343" s="16">
        <f t="shared" ca="1" si="115"/>
        <v>0</v>
      </c>
      <c r="AG343" s="16" t="str">
        <f t="shared" ca="1" si="116"/>
        <v>No_Action</v>
      </c>
      <c r="AH343" s="15"/>
      <c r="AI343" s="15" t="str">
        <f t="shared" ca="1" si="117"/>
        <v>No_Action</v>
      </c>
      <c r="AJ343" s="15">
        <f t="shared" ca="1" si="118"/>
        <v>0</v>
      </c>
      <c r="AK343" s="15">
        <f t="shared" ca="1" si="119"/>
        <v>0</v>
      </c>
    </row>
    <row r="344" spans="1:37" ht="14.5" customHeight="1" x14ac:dyDescent="0.35">
      <c r="A344" s="12" t="s">
        <v>360</v>
      </c>
      <c r="B344" s="13">
        <f ca="1">IFERROR(__xludf.DUMMYFUNCTION("GOOGLEFINANCE(""NSE:""&amp;A344,""PRICE"")"),1800)</f>
        <v>1800</v>
      </c>
      <c r="C344" s="13">
        <f ca="1">IFERROR(__xludf.DUMMYFUNCTION("GOOGLEFINANCE(""NSE:""&amp;A344,""PRICEOPEN"")"),1761.25)</f>
        <v>1761.25</v>
      </c>
      <c r="D344" s="13">
        <f ca="1">IFERROR(__xludf.DUMMYFUNCTION("GOOGLEFINANCE(""NSE:""&amp;A344,""HIGH"")"),1827.95)</f>
        <v>1827.95</v>
      </c>
      <c r="E344" s="13">
        <f ca="1">IFERROR(__xludf.DUMMYFUNCTION("GOOGLEFINANCE(""NSE:""&amp;A344,""LOW"")"),1761.25)</f>
        <v>1761.25</v>
      </c>
      <c r="F344" s="13">
        <f ca="1">IFERROR(__xludf.DUMMYFUNCTION("GOOGLEFINANCE(""NSE:""&amp;A344,""closeyest"")"),1769.45)</f>
        <v>1769.45</v>
      </c>
      <c r="G344" s="14">
        <f t="shared" ca="1" si="100"/>
        <v>2.1527777777777778E-2</v>
      </c>
      <c r="H344" s="13">
        <f ca="1">IFERROR(__xludf.DUMMYFUNCTION("GOOGLEFINANCE(""NSE:""&amp;A344,""VOLUME"")"),8570)</f>
        <v>8570</v>
      </c>
      <c r="I344" s="13" t="str">
        <f ca="1">IFERROR(__xludf.DUMMYFUNCTION("AVERAGE(index(GOOGLEFINANCE(""NSE:""&amp;$A344, ""volume"", today()-21, today()-1), , 2))"),"#N/A")</f>
        <v>#N/A</v>
      </c>
      <c r="J344" s="14" t="e">
        <f t="shared" ca="1" si="101"/>
        <v>#VALUE!</v>
      </c>
      <c r="K344" s="13" t="str">
        <f ca="1">IFERROR(__xludf.DUMMYFUNCTION("AVERAGE(index(GOOGLEFINANCE(""NSE:""&amp;$A344, ""close"", today()-6, today()-1), , 2))"),"#N/A")</f>
        <v>#N/A</v>
      </c>
      <c r="L344" s="13" t="str">
        <f ca="1">IFERROR(__xludf.DUMMYFUNCTION("AVERAGE(index(GOOGLEFINANCE(""NSE:""&amp;$A344, ""close"", today()-14, today()-1), , 2))"),"#N/A")</f>
        <v>#N/A</v>
      </c>
      <c r="M344" s="13" t="str">
        <f ca="1">IFERROR(__xludf.DUMMYFUNCTION("AVERAGE(index(GOOGLEFINANCE(""NSE:""&amp;$A344, ""close"", today()-22, today()-1), , 2))"),"#N/A")</f>
        <v>#N/A</v>
      </c>
      <c r="N344" s="13" t="str">
        <f t="shared" ca="1" si="102"/>
        <v>No_Action</v>
      </c>
      <c r="O344" s="13" t="str">
        <f t="shared" ca="1" si="103"/>
        <v>No_Action</v>
      </c>
      <c r="P344" s="13" t="str">
        <f t="shared" ca="1" si="104"/>
        <v>No_Action</v>
      </c>
      <c r="Q344" s="13" t="str">
        <f t="shared" ca="1" si="105"/>
        <v>No_Action</v>
      </c>
      <c r="R344" s="15"/>
      <c r="S344" s="15" t="str">
        <f t="shared" ca="1" si="106"/>
        <v>NoNo</v>
      </c>
      <c r="T344" s="15"/>
      <c r="U344" s="15">
        <f t="shared" ca="1" si="107"/>
        <v>0</v>
      </c>
      <c r="V344" s="15">
        <f t="shared" ca="1" si="108"/>
        <v>0</v>
      </c>
      <c r="W344" s="15" t="str">
        <f t="shared" ca="1" si="109"/>
        <v>No_Action</v>
      </c>
      <c r="X344" s="15"/>
      <c r="Y344" s="15" t="str">
        <f t="shared" ca="1" si="110"/>
        <v>No_Action</v>
      </c>
      <c r="Z344" s="15">
        <f t="shared" ca="1" si="111"/>
        <v>0</v>
      </c>
      <c r="AA344" s="15">
        <f t="shared" ca="1" si="112"/>
        <v>0</v>
      </c>
      <c r="AB344" s="15"/>
      <c r="AC344" s="15" t="str">
        <f t="shared" ca="1" si="113"/>
        <v>NoNo</v>
      </c>
      <c r="AD344" s="15"/>
      <c r="AE344" s="15">
        <f t="shared" ca="1" si="114"/>
        <v>0</v>
      </c>
      <c r="AF344" s="16">
        <f t="shared" ca="1" si="115"/>
        <v>0</v>
      </c>
      <c r="AG344" s="16" t="str">
        <f t="shared" ca="1" si="116"/>
        <v>No_Action</v>
      </c>
      <c r="AH344" s="15"/>
      <c r="AI344" s="15" t="str">
        <f t="shared" ca="1" si="117"/>
        <v>No_Action</v>
      </c>
      <c r="AJ344" s="15">
        <f t="shared" ca="1" si="118"/>
        <v>0</v>
      </c>
      <c r="AK344" s="15">
        <f t="shared" ca="1" si="119"/>
        <v>0</v>
      </c>
    </row>
    <row r="345" spans="1:37" ht="14.5" customHeight="1" x14ac:dyDescent="0.35">
      <c r="A345" s="12" t="s">
        <v>361</v>
      </c>
      <c r="B345" s="13">
        <f ca="1">IFERROR(__xludf.DUMMYFUNCTION("GOOGLEFINANCE(""NSE:""&amp;A345,""PRICE"")"),985)</f>
        <v>985</v>
      </c>
      <c r="C345" s="13">
        <f ca="1">IFERROR(__xludf.DUMMYFUNCTION("GOOGLEFINANCE(""NSE:""&amp;A345,""PRICEOPEN"")"),995.1)</f>
        <v>995.1</v>
      </c>
      <c r="D345" s="13">
        <f ca="1">IFERROR(__xludf.DUMMYFUNCTION("GOOGLEFINANCE(""NSE:""&amp;A345,""HIGH"")"),1000)</f>
        <v>1000</v>
      </c>
      <c r="E345" s="13">
        <f ca="1">IFERROR(__xludf.DUMMYFUNCTION("GOOGLEFINANCE(""NSE:""&amp;A345,""LOW"")"),981)</f>
        <v>981</v>
      </c>
      <c r="F345" s="13">
        <f ca="1">IFERROR(__xludf.DUMMYFUNCTION("GOOGLEFINANCE(""NSE:""&amp;A345,""closeyest"")"),995.1)</f>
        <v>995.1</v>
      </c>
      <c r="G345" s="14">
        <f t="shared" ca="1" si="100"/>
        <v>-1.0253807106599008E-2</v>
      </c>
      <c r="H345" s="13">
        <f ca="1">IFERROR(__xludf.DUMMYFUNCTION("GOOGLEFINANCE(""NSE:""&amp;A345,""VOLUME"")"),1191543)</f>
        <v>1191543</v>
      </c>
      <c r="I345" s="13" t="str">
        <f ca="1">IFERROR(__xludf.DUMMYFUNCTION("AVERAGE(index(GOOGLEFINANCE(""NSE:""&amp;$A345, ""volume"", today()-21, today()-1), , 2))"),"#N/A")</f>
        <v>#N/A</v>
      </c>
      <c r="J345" s="14" t="e">
        <f t="shared" ca="1" si="101"/>
        <v>#VALUE!</v>
      </c>
      <c r="K345" s="13" t="str">
        <f ca="1">IFERROR(__xludf.DUMMYFUNCTION("AVERAGE(index(GOOGLEFINANCE(""NSE:""&amp;$A345, ""close"", today()-6, today()-1), , 2))"),"#N/A")</f>
        <v>#N/A</v>
      </c>
      <c r="L345" s="13" t="str">
        <f ca="1">IFERROR(__xludf.DUMMYFUNCTION("AVERAGE(index(GOOGLEFINANCE(""NSE:""&amp;$A345, ""close"", today()-14, today()-1), , 2))"),"#N/A")</f>
        <v>#N/A</v>
      </c>
      <c r="M345" s="13" t="str">
        <f ca="1">IFERROR(__xludf.DUMMYFUNCTION("AVERAGE(index(GOOGLEFINANCE(""NSE:""&amp;$A345, ""close"", today()-22, today()-1), , 2))"),"#N/A")</f>
        <v>#N/A</v>
      </c>
      <c r="N345" s="13" t="str">
        <f t="shared" ca="1" si="102"/>
        <v>No_Action</v>
      </c>
      <c r="O345" s="13" t="str">
        <f t="shared" ca="1" si="103"/>
        <v>No_Action</v>
      </c>
      <c r="P345" s="13" t="str">
        <f t="shared" ca="1" si="104"/>
        <v>No_Action</v>
      </c>
      <c r="Q345" s="13" t="str">
        <f t="shared" ca="1" si="105"/>
        <v>No_Action</v>
      </c>
      <c r="R345" s="15"/>
      <c r="S345" s="15" t="str">
        <f t="shared" ca="1" si="106"/>
        <v>NoNo</v>
      </c>
      <c r="T345" s="15"/>
      <c r="U345" s="15">
        <f t="shared" ca="1" si="107"/>
        <v>0</v>
      </c>
      <c r="V345" s="15">
        <f t="shared" ca="1" si="108"/>
        <v>0</v>
      </c>
      <c r="W345" s="15" t="str">
        <f t="shared" ca="1" si="109"/>
        <v>No_Action</v>
      </c>
      <c r="X345" s="15"/>
      <c r="Y345" s="15" t="str">
        <f t="shared" ca="1" si="110"/>
        <v>No_Action</v>
      </c>
      <c r="Z345" s="15">
        <f t="shared" ca="1" si="111"/>
        <v>0</v>
      </c>
      <c r="AA345" s="15">
        <f t="shared" ca="1" si="112"/>
        <v>0</v>
      </c>
      <c r="AB345" s="15"/>
      <c r="AC345" s="15" t="str">
        <f t="shared" ca="1" si="113"/>
        <v>NoNo</v>
      </c>
      <c r="AD345" s="15"/>
      <c r="AE345" s="15">
        <f t="shared" ca="1" si="114"/>
        <v>0</v>
      </c>
      <c r="AF345" s="16">
        <f t="shared" ca="1" si="115"/>
        <v>0</v>
      </c>
      <c r="AG345" s="16" t="str">
        <f t="shared" ca="1" si="116"/>
        <v>No_Action</v>
      </c>
      <c r="AH345" s="15"/>
      <c r="AI345" s="15" t="str">
        <f t="shared" ca="1" si="117"/>
        <v>No_Action</v>
      </c>
      <c r="AJ345" s="15">
        <f t="shared" ca="1" si="118"/>
        <v>0</v>
      </c>
      <c r="AK345" s="15">
        <f t="shared" ca="1" si="119"/>
        <v>0</v>
      </c>
    </row>
    <row r="346" spans="1:37" ht="14.5" customHeight="1" x14ac:dyDescent="0.35">
      <c r="A346" s="17"/>
      <c r="B346" s="15"/>
      <c r="C346" s="15"/>
      <c r="D346" s="15"/>
      <c r="E346" s="15"/>
      <c r="F346" s="15"/>
      <c r="G346" s="18"/>
      <c r="H346" s="15"/>
      <c r="I346" s="15"/>
      <c r="J346" s="18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H346" s="15"/>
      <c r="AI346" s="15"/>
      <c r="AJ346" s="15"/>
      <c r="AK346" s="15"/>
    </row>
    <row r="347" spans="1:37" ht="14.5" customHeight="1" x14ac:dyDescent="0.35">
      <c r="A347" s="17"/>
      <c r="B347" s="15"/>
      <c r="C347" s="15"/>
      <c r="D347" s="15"/>
      <c r="E347" s="15"/>
      <c r="F347" s="15"/>
      <c r="G347" s="18"/>
      <c r="H347" s="15"/>
      <c r="I347" s="15"/>
      <c r="J347" s="18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H347" s="15"/>
      <c r="AI347" s="15"/>
      <c r="AJ347" s="15"/>
      <c r="AK347" s="15"/>
    </row>
    <row r="348" spans="1:37" ht="14.5" customHeight="1" x14ac:dyDescent="0.35">
      <c r="A348" s="17"/>
      <c r="B348" s="15"/>
      <c r="C348" s="15"/>
      <c r="D348" s="15"/>
      <c r="E348" s="15"/>
      <c r="F348" s="15"/>
      <c r="G348" s="18"/>
      <c r="H348" s="15"/>
      <c r="I348" s="15"/>
      <c r="J348" s="18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H348" s="15"/>
      <c r="AI348" s="15"/>
      <c r="AJ348" s="15"/>
      <c r="AK348" s="15"/>
    </row>
    <row r="349" spans="1:37" ht="14.5" customHeight="1" x14ac:dyDescent="0.35">
      <c r="A349" s="17"/>
      <c r="B349" s="15"/>
      <c r="C349" s="15"/>
      <c r="D349" s="15"/>
      <c r="E349" s="15"/>
      <c r="F349" s="15"/>
      <c r="G349" s="18"/>
      <c r="H349" s="15"/>
      <c r="I349" s="15"/>
      <c r="J349" s="18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H349" s="15"/>
      <c r="AI349" s="15"/>
      <c r="AJ349" s="15"/>
      <c r="AK349" s="15"/>
    </row>
    <row r="350" spans="1:37" ht="14.5" customHeight="1" x14ac:dyDescent="0.35">
      <c r="A350" s="17"/>
      <c r="B350" s="15"/>
      <c r="C350" s="15"/>
      <c r="D350" s="15"/>
      <c r="E350" s="15"/>
      <c r="F350" s="15"/>
      <c r="G350" s="18"/>
      <c r="H350" s="15"/>
      <c r="I350" s="15"/>
      <c r="J350" s="18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H350" s="15"/>
      <c r="AI350" s="15"/>
      <c r="AJ350" s="15"/>
      <c r="AK350" s="15"/>
    </row>
    <row r="351" spans="1:37" ht="14.5" customHeight="1" x14ac:dyDescent="0.35">
      <c r="A351" s="17"/>
      <c r="B351" s="15"/>
      <c r="C351" s="15"/>
      <c r="D351" s="15"/>
      <c r="E351" s="15"/>
      <c r="F351" s="15"/>
      <c r="G351" s="18"/>
      <c r="H351" s="15"/>
      <c r="I351" s="15"/>
      <c r="J351" s="18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H351" s="15"/>
      <c r="AI351" s="15"/>
      <c r="AJ351" s="15"/>
      <c r="AK351" s="15"/>
    </row>
    <row r="352" spans="1:37" ht="14.5" customHeight="1" x14ac:dyDescent="0.35">
      <c r="A352" s="17"/>
      <c r="B352" s="15"/>
      <c r="C352" s="15"/>
      <c r="D352" s="15"/>
      <c r="E352" s="15"/>
      <c r="F352" s="15"/>
      <c r="G352" s="18"/>
      <c r="H352" s="15"/>
      <c r="I352" s="15"/>
      <c r="J352" s="18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H352" s="15"/>
      <c r="AI352" s="15"/>
      <c r="AJ352" s="15"/>
      <c r="AK352" s="15"/>
    </row>
    <row r="353" spans="1:37" ht="14.5" customHeight="1" x14ac:dyDescent="0.35">
      <c r="A353" s="17"/>
      <c r="B353" s="15"/>
      <c r="C353" s="15"/>
      <c r="D353" s="15"/>
      <c r="E353" s="15"/>
      <c r="F353" s="15"/>
      <c r="G353" s="18"/>
      <c r="H353" s="15"/>
      <c r="I353" s="15"/>
      <c r="J353" s="18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H353" s="15"/>
      <c r="AI353" s="15"/>
      <c r="AJ353" s="15"/>
      <c r="AK353" s="15"/>
    </row>
    <row r="354" spans="1:37" ht="14.5" customHeight="1" x14ac:dyDescent="0.35">
      <c r="A354" s="17"/>
      <c r="B354" s="15"/>
      <c r="C354" s="15"/>
      <c r="D354" s="15"/>
      <c r="E354" s="15"/>
      <c r="F354" s="15"/>
      <c r="G354" s="18"/>
      <c r="H354" s="15"/>
      <c r="I354" s="15"/>
      <c r="J354" s="18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H354" s="15"/>
      <c r="AI354" s="15"/>
      <c r="AJ354" s="15"/>
      <c r="AK354" s="15"/>
    </row>
    <row r="355" spans="1:37" ht="14.5" customHeight="1" x14ac:dyDescent="0.35">
      <c r="A355" s="17"/>
      <c r="B355" s="15"/>
      <c r="C355" s="15"/>
      <c r="D355" s="15"/>
      <c r="E355" s="15"/>
      <c r="F355" s="15"/>
      <c r="G355" s="18"/>
      <c r="H355" s="15"/>
      <c r="I355" s="15"/>
      <c r="J355" s="18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H355" s="15"/>
      <c r="AI355" s="15"/>
      <c r="AJ355" s="15"/>
      <c r="AK355" s="15"/>
    </row>
    <row r="356" spans="1:37" ht="14.5" customHeight="1" x14ac:dyDescent="0.35">
      <c r="A356" s="17"/>
      <c r="B356" s="15"/>
      <c r="C356" s="15"/>
      <c r="D356" s="15"/>
      <c r="E356" s="15"/>
      <c r="F356" s="15"/>
      <c r="G356" s="18"/>
      <c r="H356" s="15"/>
      <c r="I356" s="15"/>
      <c r="J356" s="18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H356" s="15"/>
      <c r="AI356" s="15"/>
      <c r="AJ356" s="15"/>
      <c r="AK356" s="15"/>
    </row>
    <row r="357" spans="1:37" ht="14.5" customHeight="1" x14ac:dyDescent="0.35">
      <c r="A357" s="17"/>
      <c r="B357" s="15"/>
      <c r="C357" s="15"/>
      <c r="D357" s="15"/>
      <c r="E357" s="15"/>
      <c r="F357" s="15"/>
      <c r="G357" s="18"/>
      <c r="H357" s="15"/>
      <c r="I357" s="15"/>
      <c r="J357" s="18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H357" s="15"/>
      <c r="AI357" s="15"/>
      <c r="AJ357" s="15"/>
      <c r="AK357" s="15"/>
    </row>
    <row r="358" spans="1:37" ht="14.5" customHeight="1" x14ac:dyDescent="0.35">
      <c r="A358" s="17"/>
      <c r="B358" s="15"/>
      <c r="C358" s="15"/>
      <c r="D358" s="15"/>
      <c r="E358" s="15"/>
      <c r="F358" s="15"/>
      <c r="G358" s="18"/>
      <c r="H358" s="15"/>
      <c r="I358" s="15"/>
      <c r="J358" s="18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H358" s="15"/>
      <c r="AI358" s="15"/>
      <c r="AJ358" s="15"/>
      <c r="AK358" s="15"/>
    </row>
    <row r="359" spans="1:37" ht="14.5" customHeight="1" x14ac:dyDescent="0.35">
      <c r="A359" s="17"/>
      <c r="B359" s="15"/>
      <c r="C359" s="15"/>
      <c r="D359" s="15"/>
      <c r="E359" s="15"/>
      <c r="F359" s="15"/>
      <c r="G359" s="18"/>
      <c r="H359" s="15"/>
      <c r="I359" s="15"/>
      <c r="J359" s="18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H359" s="15"/>
      <c r="AI359" s="15"/>
      <c r="AJ359" s="15"/>
      <c r="AK359" s="15"/>
    </row>
    <row r="360" spans="1:37" ht="14.5" customHeight="1" x14ac:dyDescent="0.35">
      <c r="A360" s="17"/>
      <c r="B360" s="15"/>
      <c r="C360" s="15"/>
      <c r="D360" s="15"/>
      <c r="E360" s="15"/>
      <c r="F360" s="15"/>
      <c r="G360" s="18"/>
      <c r="H360" s="15"/>
      <c r="I360" s="15"/>
      <c r="J360" s="18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H360" s="15"/>
      <c r="AI360" s="15"/>
      <c r="AJ360" s="15"/>
      <c r="AK360" s="15"/>
    </row>
    <row r="361" spans="1:37" ht="14.5" customHeight="1" x14ac:dyDescent="0.35">
      <c r="A361" s="17"/>
      <c r="B361" s="15"/>
      <c r="C361" s="15"/>
      <c r="D361" s="15"/>
      <c r="E361" s="15"/>
      <c r="F361" s="15"/>
      <c r="G361" s="18"/>
      <c r="H361" s="15"/>
      <c r="I361" s="15"/>
      <c r="J361" s="18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H361" s="15"/>
      <c r="AI361" s="15"/>
      <c r="AJ361" s="15"/>
      <c r="AK361" s="15"/>
    </row>
    <row r="362" spans="1:37" ht="14.5" customHeight="1" x14ac:dyDescent="0.35">
      <c r="A362" s="17"/>
      <c r="B362" s="15"/>
      <c r="C362" s="15"/>
      <c r="D362" s="15"/>
      <c r="E362" s="15"/>
      <c r="F362" s="15"/>
      <c r="G362" s="18"/>
      <c r="H362" s="15"/>
      <c r="I362" s="15"/>
      <c r="J362" s="18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H362" s="15"/>
      <c r="AI362" s="15"/>
      <c r="AJ362" s="15"/>
      <c r="AK362" s="15"/>
    </row>
    <row r="363" spans="1:37" ht="14.5" customHeight="1" x14ac:dyDescent="0.35">
      <c r="A363" s="17"/>
      <c r="B363" s="15"/>
      <c r="C363" s="15"/>
      <c r="D363" s="15"/>
      <c r="E363" s="15"/>
      <c r="F363" s="15"/>
      <c r="G363" s="18"/>
      <c r="H363" s="15"/>
      <c r="I363" s="15"/>
      <c r="J363" s="18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H363" s="15"/>
      <c r="AI363" s="15"/>
      <c r="AJ363" s="15"/>
      <c r="AK363" s="15"/>
    </row>
    <row r="364" spans="1:37" ht="14.5" customHeight="1" x14ac:dyDescent="0.35">
      <c r="A364" s="17"/>
      <c r="B364" s="15"/>
      <c r="C364" s="15"/>
      <c r="D364" s="15"/>
      <c r="E364" s="15"/>
      <c r="F364" s="15"/>
      <c r="G364" s="18"/>
      <c r="H364" s="15"/>
      <c r="I364" s="15"/>
      <c r="J364" s="18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H364" s="15"/>
      <c r="AI364" s="15"/>
      <c r="AJ364" s="15"/>
      <c r="AK364" s="15"/>
    </row>
    <row r="365" spans="1:37" ht="14.5" customHeight="1" x14ac:dyDescent="0.35">
      <c r="A365" s="17"/>
      <c r="B365" s="15"/>
      <c r="C365" s="15"/>
      <c r="D365" s="15"/>
      <c r="E365" s="15"/>
      <c r="F365" s="15"/>
      <c r="G365" s="18"/>
      <c r="H365" s="15"/>
      <c r="I365" s="15"/>
      <c r="J365" s="18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H365" s="15"/>
      <c r="AI365" s="15"/>
      <c r="AJ365" s="15"/>
      <c r="AK365" s="15"/>
    </row>
    <row r="366" spans="1:37" ht="14.5" customHeight="1" x14ac:dyDescent="0.35">
      <c r="A366" s="17"/>
      <c r="B366" s="15"/>
      <c r="C366" s="15"/>
      <c r="D366" s="15"/>
      <c r="E366" s="15"/>
      <c r="F366" s="15"/>
      <c r="G366" s="18"/>
      <c r="H366" s="15"/>
      <c r="I366" s="15"/>
      <c r="J366" s="18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H366" s="15"/>
      <c r="AI366" s="15"/>
      <c r="AJ366" s="15"/>
      <c r="AK366" s="15"/>
    </row>
    <row r="367" spans="1:37" ht="14.5" customHeight="1" x14ac:dyDescent="0.35">
      <c r="A367" s="17"/>
      <c r="B367" s="15"/>
      <c r="C367" s="15"/>
      <c r="D367" s="15"/>
      <c r="E367" s="15"/>
      <c r="F367" s="15"/>
      <c r="G367" s="18"/>
      <c r="H367" s="15"/>
      <c r="I367" s="15"/>
      <c r="J367" s="18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H367" s="15"/>
      <c r="AI367" s="15"/>
      <c r="AJ367" s="15"/>
      <c r="AK367" s="15"/>
    </row>
    <row r="368" spans="1:37" ht="14.5" customHeight="1" x14ac:dyDescent="0.35">
      <c r="A368" s="17"/>
      <c r="B368" s="15"/>
      <c r="C368" s="15"/>
      <c r="D368" s="15"/>
      <c r="E368" s="15"/>
      <c r="F368" s="15"/>
      <c r="G368" s="18"/>
      <c r="H368" s="15"/>
      <c r="I368" s="15"/>
      <c r="J368" s="18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H368" s="15"/>
      <c r="AI368" s="15"/>
      <c r="AJ368" s="15"/>
      <c r="AK368" s="15"/>
    </row>
    <row r="369" spans="1:37" ht="14.5" customHeight="1" x14ac:dyDescent="0.35">
      <c r="A369" s="17"/>
      <c r="B369" s="15"/>
      <c r="C369" s="15"/>
      <c r="D369" s="15"/>
      <c r="E369" s="15"/>
      <c r="F369" s="15"/>
      <c r="G369" s="18"/>
      <c r="H369" s="15"/>
      <c r="I369" s="15"/>
      <c r="J369" s="18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H369" s="15"/>
      <c r="AI369" s="15"/>
      <c r="AJ369" s="15"/>
      <c r="AK369" s="15"/>
    </row>
    <row r="370" spans="1:37" ht="14.5" customHeight="1" x14ac:dyDescent="0.35">
      <c r="A370" s="17"/>
      <c r="B370" s="15"/>
      <c r="C370" s="15"/>
      <c r="D370" s="15"/>
      <c r="E370" s="15"/>
      <c r="F370" s="15"/>
      <c r="G370" s="18"/>
      <c r="H370" s="15"/>
      <c r="I370" s="15"/>
      <c r="J370" s="18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H370" s="15"/>
      <c r="AI370" s="15"/>
      <c r="AJ370" s="15"/>
      <c r="AK370" s="15"/>
    </row>
    <row r="371" spans="1:37" ht="14.5" customHeight="1" x14ac:dyDescent="0.35">
      <c r="A371" s="17"/>
      <c r="B371" s="15"/>
      <c r="C371" s="15"/>
      <c r="D371" s="15"/>
      <c r="E371" s="15"/>
      <c r="F371" s="15"/>
      <c r="G371" s="18"/>
      <c r="H371" s="15"/>
      <c r="I371" s="15"/>
      <c r="J371" s="18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H371" s="15"/>
      <c r="AI371" s="15"/>
      <c r="AJ371" s="15"/>
      <c r="AK371" s="15"/>
    </row>
    <row r="372" spans="1:37" ht="14.5" customHeight="1" x14ac:dyDescent="0.35">
      <c r="A372" s="17"/>
      <c r="B372" s="15"/>
      <c r="C372" s="15"/>
      <c r="D372" s="15"/>
      <c r="E372" s="15"/>
      <c r="F372" s="15"/>
      <c r="G372" s="18"/>
      <c r="H372" s="15"/>
      <c r="I372" s="15"/>
      <c r="J372" s="18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H372" s="15"/>
      <c r="AI372" s="15"/>
      <c r="AJ372" s="15"/>
      <c r="AK372" s="15"/>
    </row>
    <row r="373" spans="1:37" ht="14.5" customHeight="1" x14ac:dyDescent="0.35">
      <c r="A373" s="17"/>
      <c r="B373" s="15"/>
      <c r="C373" s="15"/>
      <c r="D373" s="15"/>
      <c r="E373" s="15"/>
      <c r="F373" s="15"/>
      <c r="G373" s="18"/>
      <c r="H373" s="15"/>
      <c r="I373" s="15"/>
      <c r="J373" s="18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H373" s="15"/>
      <c r="AI373" s="15"/>
      <c r="AJ373" s="15"/>
      <c r="AK373" s="15"/>
    </row>
    <row r="374" spans="1:37" ht="14.5" customHeight="1" x14ac:dyDescent="0.35">
      <c r="A374" s="17"/>
      <c r="B374" s="15"/>
      <c r="C374" s="15"/>
      <c r="D374" s="15"/>
      <c r="E374" s="15"/>
      <c r="F374" s="15"/>
      <c r="G374" s="18"/>
      <c r="H374" s="15"/>
      <c r="I374" s="15"/>
      <c r="J374" s="18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H374" s="15"/>
      <c r="AI374" s="15"/>
      <c r="AJ374" s="15"/>
      <c r="AK374" s="15"/>
    </row>
    <row r="375" spans="1:37" ht="14.5" customHeight="1" x14ac:dyDescent="0.35">
      <c r="A375" s="17"/>
      <c r="B375" s="15"/>
      <c r="C375" s="15"/>
      <c r="D375" s="15"/>
      <c r="E375" s="15"/>
      <c r="F375" s="15"/>
      <c r="G375" s="18"/>
      <c r="H375" s="15"/>
      <c r="I375" s="15"/>
      <c r="J375" s="18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H375" s="15"/>
      <c r="AI375" s="15"/>
      <c r="AJ375" s="15"/>
      <c r="AK375" s="15"/>
    </row>
    <row r="376" spans="1:37" ht="14.5" customHeight="1" x14ac:dyDescent="0.35">
      <c r="A376" s="17"/>
      <c r="B376" s="15"/>
      <c r="C376" s="15"/>
      <c r="D376" s="15"/>
      <c r="E376" s="15"/>
      <c r="F376" s="15"/>
      <c r="G376" s="18"/>
      <c r="H376" s="15"/>
      <c r="I376" s="15"/>
      <c r="J376" s="18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H376" s="15"/>
      <c r="AI376" s="15"/>
      <c r="AJ376" s="15"/>
      <c r="AK376" s="15"/>
    </row>
    <row r="377" spans="1:37" ht="14.5" customHeight="1" x14ac:dyDescent="0.35">
      <c r="A377" s="17"/>
      <c r="B377" s="15"/>
      <c r="C377" s="15"/>
      <c r="D377" s="15"/>
      <c r="E377" s="15"/>
      <c r="F377" s="15"/>
      <c r="G377" s="18"/>
      <c r="H377" s="15"/>
      <c r="I377" s="15"/>
      <c r="J377" s="18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H377" s="15"/>
      <c r="AI377" s="15"/>
      <c r="AJ377" s="15"/>
      <c r="AK377" s="15"/>
    </row>
    <row r="378" spans="1:37" ht="14.5" customHeight="1" x14ac:dyDescent="0.35">
      <c r="A378" s="17"/>
      <c r="B378" s="15"/>
      <c r="C378" s="15"/>
      <c r="D378" s="15"/>
      <c r="E378" s="15"/>
      <c r="F378" s="15"/>
      <c r="G378" s="18"/>
      <c r="H378" s="15"/>
      <c r="I378" s="15"/>
      <c r="J378" s="18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H378" s="15"/>
      <c r="AI378" s="15"/>
      <c r="AJ378" s="15"/>
      <c r="AK378" s="15"/>
    </row>
    <row r="379" spans="1:37" ht="14.5" customHeight="1" x14ac:dyDescent="0.35">
      <c r="A379" s="17"/>
      <c r="B379" s="15"/>
      <c r="C379" s="15"/>
      <c r="D379" s="15"/>
      <c r="E379" s="15"/>
      <c r="F379" s="15"/>
      <c r="G379" s="18"/>
      <c r="H379" s="15"/>
      <c r="I379" s="15"/>
      <c r="J379" s="18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H379" s="15"/>
      <c r="AI379" s="15"/>
      <c r="AJ379" s="15"/>
      <c r="AK379" s="15"/>
    </row>
    <row r="380" spans="1:37" ht="14.5" customHeight="1" x14ac:dyDescent="0.35">
      <c r="A380" s="17"/>
      <c r="B380" s="15"/>
      <c r="C380" s="15"/>
      <c r="D380" s="15"/>
      <c r="E380" s="15"/>
      <c r="F380" s="15"/>
      <c r="G380" s="18"/>
      <c r="H380" s="15"/>
      <c r="I380" s="15"/>
      <c r="J380" s="18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H380" s="15"/>
      <c r="AI380" s="15"/>
      <c r="AJ380" s="15"/>
      <c r="AK380" s="15"/>
    </row>
    <row r="381" spans="1:37" ht="14.5" customHeight="1" x14ac:dyDescent="0.35">
      <c r="A381" s="17"/>
      <c r="B381" s="15"/>
      <c r="C381" s="15"/>
      <c r="D381" s="15"/>
      <c r="E381" s="15"/>
      <c r="F381" s="15"/>
      <c r="G381" s="18"/>
      <c r="H381" s="15"/>
      <c r="I381" s="15"/>
      <c r="J381" s="18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H381" s="15"/>
      <c r="AI381" s="15"/>
      <c r="AJ381" s="15"/>
      <c r="AK381" s="15"/>
    </row>
    <row r="382" spans="1:37" ht="14.5" customHeight="1" x14ac:dyDescent="0.35">
      <c r="A382" s="17"/>
      <c r="B382" s="15"/>
      <c r="C382" s="15"/>
      <c r="D382" s="15"/>
      <c r="E382" s="15"/>
      <c r="F382" s="15"/>
      <c r="G382" s="18"/>
      <c r="H382" s="15"/>
      <c r="I382" s="15"/>
      <c r="J382" s="18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H382" s="15"/>
      <c r="AI382" s="15"/>
      <c r="AJ382" s="15"/>
      <c r="AK382" s="15"/>
    </row>
    <row r="383" spans="1:37" ht="14.5" customHeight="1" x14ac:dyDescent="0.35">
      <c r="A383" s="17"/>
      <c r="B383" s="15"/>
      <c r="C383" s="15"/>
      <c r="D383" s="15"/>
      <c r="E383" s="15"/>
      <c r="F383" s="15"/>
      <c r="G383" s="18"/>
      <c r="H383" s="15"/>
      <c r="I383" s="15"/>
      <c r="J383" s="18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H383" s="15"/>
      <c r="AI383" s="15"/>
      <c r="AJ383" s="15"/>
      <c r="AK383" s="15"/>
    </row>
    <row r="384" spans="1:37" ht="14.5" customHeight="1" x14ac:dyDescent="0.35">
      <c r="A384" s="17"/>
      <c r="B384" s="15"/>
      <c r="C384" s="15"/>
      <c r="D384" s="15"/>
      <c r="E384" s="15"/>
      <c r="F384" s="15"/>
      <c r="G384" s="18"/>
      <c r="H384" s="15"/>
      <c r="I384" s="15"/>
      <c r="J384" s="18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H384" s="15"/>
      <c r="AI384" s="15"/>
      <c r="AJ384" s="15"/>
      <c r="AK384" s="15"/>
    </row>
    <row r="385" spans="1:37" ht="14.5" customHeight="1" x14ac:dyDescent="0.35">
      <c r="A385" s="17"/>
      <c r="B385" s="15"/>
      <c r="C385" s="15"/>
      <c r="D385" s="15"/>
      <c r="E385" s="15"/>
      <c r="F385" s="15"/>
      <c r="G385" s="18"/>
      <c r="H385" s="15"/>
      <c r="I385" s="15"/>
      <c r="J385" s="18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H385" s="15"/>
      <c r="AI385" s="15"/>
      <c r="AJ385" s="15"/>
      <c r="AK385" s="15"/>
    </row>
    <row r="386" spans="1:37" ht="14.5" customHeight="1" x14ac:dyDescent="0.35">
      <c r="A386" s="17"/>
      <c r="B386" s="15"/>
      <c r="C386" s="15"/>
      <c r="D386" s="15"/>
      <c r="E386" s="15"/>
      <c r="F386" s="15"/>
      <c r="G386" s="18"/>
      <c r="H386" s="15"/>
      <c r="I386" s="15"/>
      <c r="J386" s="18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H386" s="15"/>
      <c r="AI386" s="15"/>
      <c r="AJ386" s="15"/>
      <c r="AK386" s="15"/>
    </row>
    <row r="387" spans="1:37" ht="14.5" customHeight="1" x14ac:dyDescent="0.35">
      <c r="A387" s="17"/>
      <c r="B387" s="15"/>
      <c r="C387" s="15"/>
      <c r="D387" s="15"/>
      <c r="E387" s="15"/>
      <c r="F387" s="15"/>
      <c r="G387" s="18"/>
      <c r="H387" s="15"/>
      <c r="I387" s="15"/>
      <c r="J387" s="18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H387" s="15"/>
      <c r="AI387" s="15"/>
      <c r="AJ387" s="15"/>
      <c r="AK387" s="15"/>
    </row>
    <row r="388" spans="1:37" ht="14.5" customHeight="1" x14ac:dyDescent="0.35">
      <c r="A388" s="17"/>
      <c r="B388" s="15"/>
      <c r="C388" s="15"/>
      <c r="D388" s="15"/>
      <c r="E388" s="15"/>
      <c r="F388" s="15"/>
      <c r="G388" s="18"/>
      <c r="H388" s="15"/>
      <c r="I388" s="15"/>
      <c r="J388" s="18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H388" s="15"/>
      <c r="AI388" s="15"/>
      <c r="AJ388" s="15"/>
      <c r="AK388" s="15"/>
    </row>
    <row r="389" spans="1:37" ht="14.5" customHeight="1" x14ac:dyDescent="0.35">
      <c r="A389" s="17"/>
      <c r="B389" s="15"/>
      <c r="C389" s="15"/>
      <c r="D389" s="15"/>
      <c r="E389" s="15"/>
      <c r="F389" s="15"/>
      <c r="G389" s="18"/>
      <c r="H389" s="15"/>
      <c r="I389" s="15"/>
      <c r="J389" s="18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H389" s="15"/>
      <c r="AI389" s="15"/>
      <c r="AJ389" s="15"/>
      <c r="AK389" s="15"/>
    </row>
    <row r="390" spans="1:37" ht="14.5" customHeight="1" x14ac:dyDescent="0.35">
      <c r="A390" s="17"/>
      <c r="B390" s="15"/>
      <c r="C390" s="15"/>
      <c r="D390" s="15"/>
      <c r="E390" s="15"/>
      <c r="F390" s="15"/>
      <c r="G390" s="18"/>
      <c r="H390" s="15"/>
      <c r="I390" s="15"/>
      <c r="J390" s="18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H390" s="15"/>
      <c r="AI390" s="15"/>
      <c r="AJ390" s="15"/>
      <c r="AK390" s="15"/>
    </row>
    <row r="391" spans="1:37" ht="14.5" customHeight="1" x14ac:dyDescent="0.35">
      <c r="A391" s="17"/>
      <c r="B391" s="15"/>
      <c r="C391" s="15"/>
      <c r="D391" s="15"/>
      <c r="E391" s="15"/>
      <c r="F391" s="15"/>
      <c r="G391" s="18"/>
      <c r="H391" s="15"/>
      <c r="I391" s="15"/>
      <c r="J391" s="18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H391" s="15"/>
      <c r="AI391" s="15"/>
      <c r="AJ391" s="15"/>
      <c r="AK391" s="15"/>
    </row>
    <row r="392" spans="1:37" ht="14.5" customHeight="1" x14ac:dyDescent="0.35">
      <c r="A392" s="17"/>
      <c r="B392" s="15"/>
      <c r="C392" s="15"/>
      <c r="D392" s="15"/>
      <c r="E392" s="15"/>
      <c r="F392" s="15"/>
      <c r="G392" s="18"/>
      <c r="H392" s="15"/>
      <c r="I392" s="15"/>
      <c r="J392" s="18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H392" s="15"/>
      <c r="AI392" s="15"/>
      <c r="AJ392" s="15"/>
      <c r="AK392" s="15"/>
    </row>
    <row r="393" spans="1:37" ht="14.5" customHeight="1" x14ac:dyDescent="0.35">
      <c r="A393" s="17"/>
      <c r="B393" s="15"/>
      <c r="C393" s="15"/>
      <c r="D393" s="15"/>
      <c r="E393" s="15"/>
      <c r="F393" s="15"/>
      <c r="G393" s="18"/>
      <c r="H393" s="15"/>
      <c r="I393" s="15"/>
      <c r="J393" s="18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H393" s="15"/>
      <c r="AI393" s="15"/>
      <c r="AJ393" s="15"/>
      <c r="AK393" s="15"/>
    </row>
    <row r="394" spans="1:37" ht="14.5" customHeight="1" x14ac:dyDescent="0.35">
      <c r="A394" s="17"/>
      <c r="B394" s="15"/>
      <c r="C394" s="15"/>
      <c r="D394" s="15"/>
      <c r="E394" s="15"/>
      <c r="F394" s="15"/>
      <c r="G394" s="18"/>
      <c r="H394" s="15"/>
      <c r="I394" s="15"/>
      <c r="J394" s="18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H394" s="15"/>
      <c r="AI394" s="15"/>
      <c r="AJ394" s="15"/>
      <c r="AK394" s="15"/>
    </row>
    <row r="395" spans="1:37" ht="14.5" customHeight="1" x14ac:dyDescent="0.35">
      <c r="A395" s="17"/>
      <c r="B395" s="15"/>
      <c r="C395" s="15"/>
      <c r="D395" s="15"/>
      <c r="E395" s="15"/>
      <c r="F395" s="15"/>
      <c r="G395" s="18"/>
      <c r="H395" s="15"/>
      <c r="I395" s="15"/>
      <c r="J395" s="18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H395" s="15"/>
      <c r="AI395" s="15"/>
      <c r="AJ395" s="15"/>
      <c r="AK395" s="15"/>
    </row>
    <row r="396" spans="1:37" ht="14.5" customHeight="1" x14ac:dyDescent="0.35">
      <c r="A396" s="17"/>
      <c r="B396" s="15"/>
      <c r="C396" s="15"/>
      <c r="D396" s="15"/>
      <c r="E396" s="15"/>
      <c r="F396" s="15"/>
      <c r="G396" s="18"/>
      <c r="H396" s="15"/>
      <c r="I396" s="15"/>
      <c r="J396" s="18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H396" s="15"/>
      <c r="AI396" s="15"/>
      <c r="AJ396" s="15"/>
      <c r="AK396" s="15"/>
    </row>
    <row r="397" spans="1:37" ht="14.5" customHeight="1" x14ac:dyDescent="0.35">
      <c r="A397" s="17"/>
      <c r="B397" s="15"/>
      <c r="C397" s="15"/>
      <c r="D397" s="15"/>
      <c r="E397" s="15"/>
      <c r="F397" s="15"/>
      <c r="G397" s="18"/>
      <c r="H397" s="15"/>
      <c r="I397" s="15"/>
      <c r="J397" s="18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H397" s="15"/>
      <c r="AI397" s="15"/>
      <c r="AJ397" s="15"/>
      <c r="AK397" s="15"/>
    </row>
    <row r="398" spans="1:37" ht="14.5" customHeight="1" x14ac:dyDescent="0.35">
      <c r="A398" s="17"/>
      <c r="B398" s="15"/>
      <c r="C398" s="15"/>
      <c r="D398" s="15"/>
      <c r="E398" s="15"/>
      <c r="F398" s="15"/>
      <c r="G398" s="18"/>
      <c r="H398" s="15"/>
      <c r="I398" s="15"/>
      <c r="J398" s="18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H398" s="15"/>
      <c r="AI398" s="15"/>
      <c r="AJ398" s="15"/>
      <c r="AK398" s="15"/>
    </row>
    <row r="399" spans="1:37" ht="14.5" customHeight="1" x14ac:dyDescent="0.35">
      <c r="A399" s="17"/>
      <c r="B399" s="15"/>
      <c r="C399" s="15"/>
      <c r="D399" s="15"/>
      <c r="E399" s="15"/>
      <c r="F399" s="15"/>
      <c r="G399" s="18"/>
      <c r="H399" s="15"/>
      <c r="I399" s="15"/>
      <c r="J399" s="18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H399" s="15"/>
      <c r="AI399" s="15"/>
      <c r="AJ399" s="15"/>
      <c r="AK399" s="15"/>
    </row>
    <row r="400" spans="1:37" ht="14.5" customHeight="1" x14ac:dyDescent="0.35">
      <c r="A400" s="17"/>
      <c r="B400" s="15"/>
      <c r="C400" s="15"/>
      <c r="D400" s="15"/>
      <c r="E400" s="15"/>
      <c r="F400" s="15"/>
      <c r="G400" s="18"/>
      <c r="H400" s="15"/>
      <c r="I400" s="15"/>
      <c r="J400" s="18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H400" s="15"/>
      <c r="AI400" s="15"/>
      <c r="AJ400" s="15"/>
      <c r="AK400" s="15"/>
    </row>
    <row r="401" spans="1:37" ht="14.5" customHeight="1" x14ac:dyDescent="0.35">
      <c r="A401" s="17"/>
      <c r="B401" s="15"/>
      <c r="C401" s="15"/>
      <c r="D401" s="15"/>
      <c r="E401" s="15"/>
      <c r="F401" s="15"/>
      <c r="G401" s="18"/>
      <c r="H401" s="15"/>
      <c r="I401" s="15"/>
      <c r="J401" s="18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H401" s="15"/>
      <c r="AI401" s="15"/>
      <c r="AJ401" s="15"/>
      <c r="AK401" s="15"/>
    </row>
    <row r="402" spans="1:37" ht="14.5" customHeight="1" x14ac:dyDescent="0.35">
      <c r="A402" s="17"/>
      <c r="B402" s="15"/>
      <c r="C402" s="15"/>
      <c r="D402" s="15"/>
      <c r="E402" s="15"/>
      <c r="F402" s="15"/>
      <c r="G402" s="18"/>
      <c r="H402" s="15"/>
      <c r="I402" s="15"/>
      <c r="J402" s="18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H402" s="15"/>
      <c r="AI402" s="15"/>
      <c r="AJ402" s="15"/>
      <c r="AK402" s="15"/>
    </row>
    <row r="403" spans="1:37" ht="14.5" customHeight="1" x14ac:dyDescent="0.35">
      <c r="A403" s="17"/>
      <c r="B403" s="15"/>
      <c r="C403" s="15"/>
      <c r="D403" s="15"/>
      <c r="E403" s="15"/>
      <c r="F403" s="15"/>
      <c r="G403" s="18"/>
      <c r="H403" s="15"/>
      <c r="I403" s="15"/>
      <c r="J403" s="18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H403" s="15"/>
      <c r="AI403" s="15"/>
      <c r="AJ403" s="15"/>
      <c r="AK403" s="15"/>
    </row>
    <row r="404" spans="1:37" ht="14.5" customHeight="1" x14ac:dyDescent="0.35">
      <c r="A404" s="17"/>
      <c r="B404" s="15"/>
      <c r="C404" s="15"/>
      <c r="D404" s="15"/>
      <c r="E404" s="15"/>
      <c r="F404" s="15"/>
      <c r="G404" s="18"/>
      <c r="H404" s="15"/>
      <c r="I404" s="15"/>
      <c r="J404" s="18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H404" s="15"/>
      <c r="AI404" s="15"/>
      <c r="AJ404" s="15"/>
      <c r="AK404" s="15"/>
    </row>
    <row r="405" spans="1:37" ht="14.5" customHeight="1" x14ac:dyDescent="0.35">
      <c r="A405" s="17"/>
      <c r="B405" s="15"/>
      <c r="C405" s="15"/>
      <c r="D405" s="15"/>
      <c r="E405" s="15"/>
      <c r="F405" s="15"/>
      <c r="G405" s="18"/>
      <c r="H405" s="15"/>
      <c r="I405" s="15"/>
      <c r="J405" s="18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H405" s="15"/>
      <c r="AI405" s="15"/>
      <c r="AJ405" s="15"/>
      <c r="AK405" s="15"/>
    </row>
    <row r="406" spans="1:37" ht="14.5" customHeight="1" x14ac:dyDescent="0.35">
      <c r="A406" s="17"/>
      <c r="B406" s="15"/>
      <c r="C406" s="15"/>
      <c r="D406" s="15"/>
      <c r="E406" s="15"/>
      <c r="F406" s="15"/>
      <c r="G406" s="18"/>
      <c r="H406" s="15"/>
      <c r="I406" s="15"/>
      <c r="J406" s="18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H406" s="15"/>
      <c r="AI406" s="15"/>
      <c r="AJ406" s="15"/>
      <c r="AK406" s="15"/>
    </row>
    <row r="407" spans="1:37" ht="14.5" customHeight="1" x14ac:dyDescent="0.35">
      <c r="A407" s="17"/>
      <c r="B407" s="15"/>
      <c r="C407" s="15"/>
      <c r="D407" s="15"/>
      <c r="E407" s="15"/>
      <c r="F407" s="15"/>
      <c r="G407" s="18"/>
      <c r="H407" s="15"/>
      <c r="I407" s="15"/>
      <c r="J407" s="18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H407" s="15"/>
      <c r="AI407" s="15"/>
      <c r="AJ407" s="15"/>
      <c r="AK407" s="15"/>
    </row>
    <row r="408" spans="1:37" ht="14.5" customHeight="1" x14ac:dyDescent="0.35">
      <c r="A408" s="17"/>
      <c r="B408" s="15"/>
      <c r="C408" s="15"/>
      <c r="D408" s="15"/>
      <c r="E408" s="15"/>
      <c r="F408" s="15"/>
      <c r="G408" s="18"/>
      <c r="H408" s="15"/>
      <c r="I408" s="15"/>
      <c r="J408" s="18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H408" s="15"/>
      <c r="AI408" s="15"/>
      <c r="AJ408" s="15"/>
      <c r="AK408" s="15"/>
    </row>
    <row r="409" spans="1:37" ht="14.5" customHeight="1" x14ac:dyDescent="0.35">
      <c r="A409" s="17"/>
      <c r="B409" s="15"/>
      <c r="C409" s="15"/>
      <c r="D409" s="15"/>
      <c r="E409" s="15"/>
      <c r="F409" s="15"/>
      <c r="G409" s="18"/>
      <c r="H409" s="15"/>
      <c r="I409" s="15"/>
      <c r="J409" s="18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H409" s="15"/>
      <c r="AI409" s="15"/>
      <c r="AJ409" s="15"/>
      <c r="AK409" s="15"/>
    </row>
    <row r="410" spans="1:37" ht="14.5" customHeight="1" x14ac:dyDescent="0.35">
      <c r="A410" s="17"/>
      <c r="B410" s="15"/>
      <c r="C410" s="15"/>
      <c r="D410" s="15"/>
      <c r="E410" s="15"/>
      <c r="F410" s="15"/>
      <c r="G410" s="18"/>
      <c r="H410" s="15"/>
      <c r="I410" s="15"/>
      <c r="J410" s="18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H410" s="15"/>
      <c r="AI410" s="15"/>
      <c r="AJ410" s="15"/>
      <c r="AK410" s="15"/>
    </row>
    <row r="411" spans="1:37" ht="14.5" customHeight="1" x14ac:dyDescent="0.35">
      <c r="A411" s="17"/>
      <c r="B411" s="15"/>
      <c r="C411" s="15"/>
      <c r="D411" s="15"/>
      <c r="E411" s="15"/>
      <c r="F411" s="15"/>
      <c r="G411" s="18"/>
      <c r="H411" s="15"/>
      <c r="I411" s="15"/>
      <c r="J411" s="18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H411" s="15"/>
      <c r="AI411" s="15"/>
      <c r="AJ411" s="15"/>
      <c r="AK411" s="15"/>
    </row>
    <row r="412" spans="1:37" ht="14.5" customHeight="1" x14ac:dyDescent="0.35">
      <c r="A412" s="17"/>
      <c r="B412" s="15"/>
      <c r="C412" s="15"/>
      <c r="D412" s="15"/>
      <c r="E412" s="15"/>
      <c r="F412" s="15"/>
      <c r="G412" s="18"/>
      <c r="H412" s="15"/>
      <c r="I412" s="15"/>
      <c r="J412" s="18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H412" s="15"/>
      <c r="AI412" s="15"/>
      <c r="AJ412" s="15"/>
      <c r="AK412" s="15"/>
    </row>
    <row r="413" spans="1:37" ht="14.5" customHeight="1" x14ac:dyDescent="0.35">
      <c r="A413" s="17"/>
      <c r="B413" s="15"/>
      <c r="C413" s="15"/>
      <c r="D413" s="15"/>
      <c r="E413" s="15"/>
      <c r="F413" s="15"/>
      <c r="G413" s="18"/>
      <c r="H413" s="15"/>
      <c r="I413" s="15"/>
      <c r="J413" s="18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H413" s="15"/>
      <c r="AI413" s="15"/>
      <c r="AJ413" s="15"/>
      <c r="AK413" s="15"/>
    </row>
    <row r="414" spans="1:37" ht="14.5" customHeight="1" x14ac:dyDescent="0.35">
      <c r="A414" s="17"/>
      <c r="B414" s="15"/>
      <c r="C414" s="15"/>
      <c r="D414" s="15"/>
      <c r="E414" s="15"/>
      <c r="F414" s="15"/>
      <c r="G414" s="18"/>
      <c r="H414" s="15"/>
      <c r="I414" s="15"/>
      <c r="J414" s="18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H414" s="15"/>
      <c r="AI414" s="15"/>
      <c r="AJ414" s="15"/>
      <c r="AK414" s="15"/>
    </row>
    <row r="415" spans="1:37" ht="14.5" customHeight="1" x14ac:dyDescent="0.35">
      <c r="A415" s="17"/>
      <c r="B415" s="15"/>
      <c r="C415" s="15"/>
      <c r="D415" s="15"/>
      <c r="E415" s="15"/>
      <c r="F415" s="15"/>
      <c r="G415" s="18"/>
      <c r="H415" s="15"/>
      <c r="I415" s="15"/>
      <c r="J415" s="18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H415" s="15"/>
      <c r="AI415" s="15"/>
      <c r="AJ415" s="15"/>
      <c r="AK415" s="15"/>
    </row>
    <row r="416" spans="1:37" ht="14.5" customHeight="1" x14ac:dyDescent="0.35">
      <c r="A416" s="17"/>
      <c r="B416" s="15"/>
      <c r="C416" s="15"/>
      <c r="D416" s="15"/>
      <c r="E416" s="15"/>
      <c r="F416" s="15"/>
      <c r="G416" s="18"/>
      <c r="H416" s="15"/>
      <c r="I416" s="15"/>
      <c r="J416" s="18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H416" s="15"/>
      <c r="AI416" s="15"/>
      <c r="AJ416" s="15"/>
      <c r="AK416" s="15"/>
    </row>
    <row r="417" spans="1:37" ht="14.5" customHeight="1" x14ac:dyDescent="0.35">
      <c r="A417" s="17"/>
      <c r="B417" s="15"/>
      <c r="C417" s="15"/>
      <c r="D417" s="15"/>
      <c r="E417" s="15"/>
      <c r="F417" s="15"/>
      <c r="G417" s="18"/>
      <c r="H417" s="15"/>
      <c r="I417" s="15"/>
      <c r="J417" s="18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H417" s="15"/>
      <c r="AI417" s="15"/>
      <c r="AJ417" s="15"/>
      <c r="AK417" s="15"/>
    </row>
    <row r="418" spans="1:37" ht="14.5" customHeight="1" x14ac:dyDescent="0.35">
      <c r="A418" s="17"/>
      <c r="B418" s="15"/>
      <c r="C418" s="15"/>
      <c r="D418" s="15"/>
      <c r="E418" s="15"/>
      <c r="F418" s="15"/>
      <c r="G418" s="18"/>
      <c r="H418" s="15"/>
      <c r="I418" s="15"/>
      <c r="J418" s="18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H418" s="15"/>
      <c r="AI418" s="15"/>
      <c r="AJ418" s="15"/>
      <c r="AK418" s="15"/>
    </row>
    <row r="419" spans="1:37" ht="14.5" customHeight="1" x14ac:dyDescent="0.35">
      <c r="A419" s="17"/>
      <c r="B419" s="15"/>
      <c r="C419" s="15"/>
      <c r="D419" s="15"/>
      <c r="E419" s="15"/>
      <c r="F419" s="15"/>
      <c r="G419" s="18"/>
      <c r="H419" s="15"/>
      <c r="I419" s="15"/>
      <c r="J419" s="18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H419" s="15"/>
      <c r="AI419" s="15"/>
      <c r="AJ419" s="15"/>
      <c r="AK419" s="15"/>
    </row>
    <row r="420" spans="1:37" ht="14.5" customHeight="1" x14ac:dyDescent="0.35">
      <c r="A420" s="17"/>
      <c r="B420" s="15"/>
      <c r="C420" s="15"/>
      <c r="D420" s="15"/>
      <c r="E420" s="15"/>
      <c r="F420" s="15"/>
      <c r="G420" s="18"/>
      <c r="H420" s="15"/>
      <c r="I420" s="15"/>
      <c r="J420" s="18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H420" s="15"/>
      <c r="AI420" s="15"/>
      <c r="AJ420" s="15"/>
      <c r="AK420" s="15"/>
    </row>
    <row r="421" spans="1:37" ht="14.5" customHeight="1" x14ac:dyDescent="0.35">
      <c r="A421" s="17"/>
      <c r="B421" s="15"/>
      <c r="C421" s="15"/>
      <c r="D421" s="15"/>
      <c r="E421" s="15"/>
      <c r="F421" s="15"/>
      <c r="G421" s="18"/>
      <c r="H421" s="15"/>
      <c r="I421" s="15"/>
      <c r="J421" s="18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H421" s="15"/>
      <c r="AI421" s="15"/>
      <c r="AJ421" s="15"/>
      <c r="AK421" s="15"/>
    </row>
    <row r="422" spans="1:37" ht="14.5" customHeight="1" x14ac:dyDescent="0.35">
      <c r="A422" s="17"/>
      <c r="B422" s="15"/>
      <c r="C422" s="15"/>
      <c r="D422" s="15"/>
      <c r="E422" s="15"/>
      <c r="F422" s="15"/>
      <c r="G422" s="18"/>
      <c r="H422" s="15"/>
      <c r="I422" s="15"/>
      <c r="J422" s="18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H422" s="15"/>
      <c r="AI422" s="15"/>
      <c r="AJ422" s="15"/>
      <c r="AK422" s="15"/>
    </row>
    <row r="423" spans="1:37" ht="14.5" customHeight="1" x14ac:dyDescent="0.35">
      <c r="A423" s="17"/>
      <c r="B423" s="15"/>
      <c r="C423" s="15"/>
      <c r="D423" s="15"/>
      <c r="E423" s="15"/>
      <c r="F423" s="15"/>
      <c r="G423" s="18"/>
      <c r="H423" s="15"/>
      <c r="I423" s="15"/>
      <c r="J423" s="18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H423" s="15"/>
      <c r="AI423" s="15"/>
      <c r="AJ423" s="15"/>
      <c r="AK423" s="15"/>
    </row>
    <row r="424" spans="1:37" ht="14.5" customHeight="1" x14ac:dyDescent="0.35">
      <c r="A424" s="17"/>
      <c r="B424" s="15"/>
      <c r="C424" s="15"/>
      <c r="D424" s="15"/>
      <c r="E424" s="15"/>
      <c r="F424" s="15"/>
      <c r="G424" s="18"/>
      <c r="H424" s="15"/>
      <c r="I424" s="15"/>
      <c r="J424" s="18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H424" s="15"/>
      <c r="AI424" s="15"/>
      <c r="AJ424" s="15"/>
      <c r="AK424" s="15"/>
    </row>
    <row r="425" spans="1:37" ht="14.5" customHeight="1" x14ac:dyDescent="0.35">
      <c r="A425" s="17"/>
      <c r="B425" s="15"/>
      <c r="C425" s="15"/>
      <c r="D425" s="15"/>
      <c r="E425" s="15"/>
      <c r="F425" s="15"/>
      <c r="G425" s="18"/>
      <c r="H425" s="15"/>
      <c r="I425" s="15"/>
      <c r="J425" s="18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H425" s="15"/>
      <c r="AI425" s="15"/>
      <c r="AJ425" s="15"/>
      <c r="AK425" s="15"/>
    </row>
    <row r="426" spans="1:37" ht="14.5" customHeight="1" x14ac:dyDescent="0.35">
      <c r="A426" s="17"/>
      <c r="B426" s="15"/>
      <c r="C426" s="15"/>
      <c r="D426" s="15"/>
      <c r="E426" s="15"/>
      <c r="F426" s="15"/>
      <c r="G426" s="18"/>
      <c r="H426" s="15"/>
      <c r="I426" s="15"/>
      <c r="J426" s="18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H426" s="15"/>
      <c r="AI426" s="15"/>
      <c r="AJ426" s="15"/>
      <c r="AK426" s="15"/>
    </row>
    <row r="427" spans="1:37" ht="14.5" customHeight="1" x14ac:dyDescent="0.35">
      <c r="A427" s="17"/>
      <c r="B427" s="15"/>
      <c r="C427" s="15"/>
      <c r="D427" s="15"/>
      <c r="E427" s="15"/>
      <c r="F427" s="15"/>
      <c r="G427" s="18"/>
      <c r="H427" s="15"/>
      <c r="I427" s="15"/>
      <c r="J427" s="18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H427" s="15"/>
      <c r="AI427" s="15"/>
      <c r="AJ427" s="15"/>
      <c r="AK427" s="15"/>
    </row>
    <row r="428" spans="1:37" ht="14.5" customHeight="1" x14ac:dyDescent="0.35">
      <c r="A428" s="17"/>
      <c r="B428" s="15"/>
      <c r="C428" s="15"/>
      <c r="D428" s="15"/>
      <c r="E428" s="15"/>
      <c r="F428" s="15"/>
      <c r="G428" s="18"/>
      <c r="H428" s="15"/>
      <c r="I428" s="15"/>
      <c r="J428" s="18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H428" s="15"/>
      <c r="AI428" s="15"/>
      <c r="AJ428" s="15"/>
      <c r="AK428" s="15"/>
    </row>
    <row r="429" spans="1:37" ht="14.5" customHeight="1" x14ac:dyDescent="0.35">
      <c r="A429" s="17"/>
      <c r="B429" s="15"/>
      <c r="C429" s="15"/>
      <c r="D429" s="15"/>
      <c r="E429" s="15"/>
      <c r="F429" s="15"/>
      <c r="G429" s="18"/>
      <c r="H429" s="15"/>
      <c r="I429" s="15"/>
      <c r="J429" s="18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H429" s="15"/>
      <c r="AI429" s="15"/>
      <c r="AJ429" s="15"/>
      <c r="AK429" s="15"/>
    </row>
    <row r="430" spans="1:37" ht="14.5" customHeight="1" x14ac:dyDescent="0.35">
      <c r="A430" s="17"/>
      <c r="B430" s="15"/>
      <c r="C430" s="15"/>
      <c r="D430" s="15"/>
      <c r="E430" s="15"/>
      <c r="F430" s="15"/>
      <c r="G430" s="18"/>
      <c r="H430" s="15"/>
      <c r="I430" s="15"/>
      <c r="J430" s="18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H430" s="15"/>
      <c r="AI430" s="15"/>
      <c r="AJ430" s="15"/>
      <c r="AK430" s="15"/>
    </row>
    <row r="431" spans="1:37" ht="14.5" customHeight="1" x14ac:dyDescent="0.35">
      <c r="A431" s="17"/>
      <c r="B431" s="15"/>
      <c r="C431" s="15"/>
      <c r="D431" s="15"/>
      <c r="E431" s="15"/>
      <c r="F431" s="15"/>
      <c r="G431" s="18"/>
      <c r="H431" s="15"/>
      <c r="I431" s="15"/>
      <c r="J431" s="18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H431" s="15"/>
      <c r="AI431" s="15"/>
      <c r="AJ431" s="15"/>
      <c r="AK431" s="15"/>
    </row>
    <row r="432" spans="1:37" ht="14.5" customHeight="1" x14ac:dyDescent="0.35">
      <c r="A432" s="17"/>
      <c r="B432" s="15"/>
      <c r="C432" s="15"/>
      <c r="D432" s="15"/>
      <c r="E432" s="15"/>
      <c r="F432" s="15"/>
      <c r="G432" s="18"/>
      <c r="H432" s="15"/>
      <c r="I432" s="15"/>
      <c r="J432" s="18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H432" s="15"/>
      <c r="AI432" s="15"/>
      <c r="AJ432" s="15"/>
      <c r="AK432" s="15"/>
    </row>
    <row r="433" spans="1:37" ht="14.5" customHeight="1" x14ac:dyDescent="0.35">
      <c r="A433" s="17"/>
      <c r="B433" s="15"/>
      <c r="C433" s="15"/>
      <c r="D433" s="15"/>
      <c r="E433" s="15"/>
      <c r="F433" s="15"/>
      <c r="G433" s="18"/>
      <c r="H433" s="15"/>
      <c r="I433" s="15"/>
      <c r="J433" s="18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H433" s="15"/>
      <c r="AI433" s="15"/>
      <c r="AJ433" s="15"/>
      <c r="AK433" s="15"/>
    </row>
    <row r="434" spans="1:37" ht="14.5" customHeight="1" x14ac:dyDescent="0.35">
      <c r="A434" s="17"/>
      <c r="B434" s="15"/>
      <c r="C434" s="15"/>
      <c r="D434" s="15"/>
      <c r="E434" s="15"/>
      <c r="F434" s="15"/>
      <c r="G434" s="18"/>
      <c r="H434" s="15"/>
      <c r="I434" s="15"/>
      <c r="J434" s="18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H434" s="15"/>
      <c r="AI434" s="15"/>
      <c r="AJ434" s="15"/>
      <c r="AK434" s="15"/>
    </row>
    <row r="435" spans="1:37" ht="14.5" customHeight="1" x14ac:dyDescent="0.35">
      <c r="A435" s="17"/>
      <c r="B435" s="15"/>
      <c r="C435" s="15"/>
      <c r="D435" s="15"/>
      <c r="E435" s="15"/>
      <c r="F435" s="15"/>
      <c r="G435" s="18"/>
      <c r="H435" s="15"/>
      <c r="I435" s="15"/>
      <c r="J435" s="18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H435" s="15"/>
      <c r="AI435" s="15"/>
      <c r="AJ435" s="15"/>
      <c r="AK435" s="15"/>
    </row>
    <row r="436" spans="1:37" ht="14.5" customHeight="1" x14ac:dyDescent="0.35">
      <c r="A436" s="17"/>
      <c r="B436" s="15"/>
      <c r="C436" s="15"/>
      <c r="D436" s="15"/>
      <c r="E436" s="15"/>
      <c r="F436" s="15"/>
      <c r="G436" s="18"/>
      <c r="H436" s="15"/>
      <c r="I436" s="15"/>
      <c r="J436" s="18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H436" s="15"/>
      <c r="AI436" s="15"/>
      <c r="AJ436" s="15"/>
      <c r="AK436" s="15"/>
    </row>
    <row r="437" spans="1:37" ht="14.5" customHeight="1" x14ac:dyDescent="0.35">
      <c r="A437" s="17"/>
      <c r="B437" s="15"/>
      <c r="C437" s="15"/>
      <c r="D437" s="15"/>
      <c r="E437" s="15"/>
      <c r="F437" s="15"/>
      <c r="G437" s="18"/>
      <c r="H437" s="15"/>
      <c r="I437" s="15"/>
      <c r="J437" s="18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H437" s="15"/>
      <c r="AI437" s="15"/>
      <c r="AJ437" s="15"/>
      <c r="AK437" s="15"/>
    </row>
    <row r="438" spans="1:37" ht="14.5" customHeight="1" x14ac:dyDescent="0.35">
      <c r="A438" s="17"/>
      <c r="B438" s="15"/>
      <c r="C438" s="15"/>
      <c r="D438" s="15"/>
      <c r="E438" s="15"/>
      <c r="F438" s="15"/>
      <c r="G438" s="18"/>
      <c r="H438" s="15"/>
      <c r="I438" s="15"/>
      <c r="J438" s="18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H438" s="15"/>
      <c r="AI438" s="15"/>
      <c r="AJ438" s="15"/>
      <c r="AK438" s="15"/>
    </row>
    <row r="439" spans="1:37" ht="14.5" customHeight="1" x14ac:dyDescent="0.35">
      <c r="A439" s="17"/>
      <c r="B439" s="15"/>
      <c r="C439" s="15"/>
      <c r="D439" s="15"/>
      <c r="E439" s="15"/>
      <c r="F439" s="15"/>
      <c r="G439" s="18"/>
      <c r="H439" s="15"/>
      <c r="I439" s="15"/>
      <c r="J439" s="18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H439" s="15"/>
      <c r="AI439" s="15"/>
      <c r="AJ439" s="15"/>
      <c r="AK439" s="15"/>
    </row>
    <row r="440" spans="1:37" ht="14.5" customHeight="1" x14ac:dyDescent="0.35">
      <c r="A440" s="17"/>
      <c r="B440" s="15"/>
      <c r="C440" s="15"/>
      <c r="D440" s="15"/>
      <c r="E440" s="15"/>
      <c r="F440" s="15"/>
      <c r="G440" s="18"/>
      <c r="H440" s="15"/>
      <c r="I440" s="15"/>
      <c r="J440" s="18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H440" s="15"/>
      <c r="AI440" s="15"/>
      <c r="AJ440" s="15"/>
      <c r="AK440" s="15"/>
    </row>
    <row r="441" spans="1:37" ht="14.5" customHeight="1" x14ac:dyDescent="0.35">
      <c r="A441" s="17"/>
      <c r="B441" s="15"/>
      <c r="C441" s="15"/>
      <c r="D441" s="15"/>
      <c r="E441" s="15"/>
      <c r="F441" s="15"/>
      <c r="G441" s="18"/>
      <c r="H441" s="15"/>
      <c r="I441" s="15"/>
      <c r="J441" s="18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H441" s="15"/>
      <c r="AI441" s="15"/>
      <c r="AJ441" s="15"/>
      <c r="AK441" s="15"/>
    </row>
    <row r="442" spans="1:37" ht="14.5" customHeight="1" x14ac:dyDescent="0.35">
      <c r="A442" s="17"/>
      <c r="B442" s="15"/>
      <c r="C442" s="15"/>
      <c r="D442" s="15"/>
      <c r="E442" s="15"/>
      <c r="F442" s="15"/>
      <c r="G442" s="18"/>
      <c r="H442" s="15"/>
      <c r="I442" s="15"/>
      <c r="J442" s="18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H442" s="15"/>
      <c r="AI442" s="15"/>
      <c r="AJ442" s="15"/>
      <c r="AK442" s="15"/>
    </row>
    <row r="443" spans="1:37" ht="14.5" customHeight="1" x14ac:dyDescent="0.35">
      <c r="A443" s="17"/>
      <c r="B443" s="15"/>
      <c r="C443" s="15"/>
      <c r="D443" s="15"/>
      <c r="E443" s="15"/>
      <c r="F443" s="15"/>
      <c r="G443" s="18"/>
      <c r="H443" s="15"/>
      <c r="I443" s="15"/>
      <c r="J443" s="18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H443" s="15"/>
      <c r="AI443" s="15"/>
      <c r="AJ443" s="15"/>
      <c r="AK443" s="15"/>
    </row>
    <row r="444" spans="1:37" ht="14.5" customHeight="1" x14ac:dyDescent="0.35">
      <c r="A444" s="17"/>
      <c r="B444" s="15"/>
      <c r="C444" s="15"/>
      <c r="D444" s="15"/>
      <c r="E444" s="15"/>
      <c r="F444" s="15"/>
      <c r="G444" s="18"/>
      <c r="H444" s="15"/>
      <c r="I444" s="15"/>
      <c r="J444" s="18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H444" s="15"/>
      <c r="AI444" s="15"/>
      <c r="AJ444" s="15"/>
      <c r="AK444" s="15"/>
    </row>
    <row r="445" spans="1:37" ht="14.5" customHeight="1" x14ac:dyDescent="0.35">
      <c r="A445" s="17"/>
      <c r="B445" s="15"/>
      <c r="C445" s="15"/>
      <c r="D445" s="15"/>
      <c r="E445" s="15"/>
      <c r="F445" s="15"/>
      <c r="G445" s="18"/>
      <c r="H445" s="15"/>
      <c r="I445" s="15"/>
      <c r="J445" s="18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H445" s="15"/>
      <c r="AI445" s="15"/>
      <c r="AJ445" s="15"/>
      <c r="AK445" s="15"/>
    </row>
    <row r="446" spans="1:37" ht="14.5" customHeight="1" x14ac:dyDescent="0.35">
      <c r="A446" s="17"/>
      <c r="B446" s="15"/>
      <c r="C446" s="15"/>
      <c r="D446" s="15"/>
      <c r="E446" s="15"/>
      <c r="F446" s="15"/>
      <c r="G446" s="18"/>
      <c r="H446" s="15"/>
      <c r="I446" s="15"/>
      <c r="J446" s="18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H446" s="15"/>
      <c r="AI446" s="15"/>
      <c r="AJ446" s="15"/>
      <c r="AK446" s="15"/>
    </row>
    <row r="447" spans="1:37" ht="14.5" customHeight="1" x14ac:dyDescent="0.35">
      <c r="A447" s="17"/>
      <c r="B447" s="15"/>
      <c r="C447" s="15"/>
      <c r="D447" s="15"/>
      <c r="E447" s="15"/>
      <c r="F447" s="15"/>
      <c r="G447" s="18"/>
      <c r="H447" s="15"/>
      <c r="I447" s="15"/>
      <c r="J447" s="18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H447" s="15"/>
      <c r="AI447" s="15"/>
      <c r="AJ447" s="15"/>
      <c r="AK447" s="15"/>
    </row>
    <row r="448" spans="1:37" ht="14.5" customHeight="1" x14ac:dyDescent="0.35">
      <c r="A448" s="17"/>
      <c r="B448" s="15"/>
      <c r="C448" s="15"/>
      <c r="D448" s="15"/>
      <c r="E448" s="15"/>
      <c r="F448" s="15"/>
      <c r="G448" s="18"/>
      <c r="H448" s="15"/>
      <c r="I448" s="15"/>
      <c r="J448" s="18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H448" s="15"/>
      <c r="AI448" s="15"/>
      <c r="AJ448" s="15"/>
      <c r="AK448" s="15"/>
    </row>
    <row r="449" spans="1:37" ht="14.5" customHeight="1" x14ac:dyDescent="0.35">
      <c r="A449" s="17"/>
      <c r="B449" s="15"/>
      <c r="C449" s="15"/>
      <c r="D449" s="15"/>
      <c r="E449" s="15"/>
      <c r="F449" s="15"/>
      <c r="G449" s="18"/>
      <c r="H449" s="15"/>
      <c r="I449" s="15"/>
      <c r="J449" s="18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H449" s="15"/>
      <c r="AI449" s="15"/>
      <c r="AJ449" s="15"/>
      <c r="AK449" s="15"/>
    </row>
    <row r="450" spans="1:37" ht="14.5" customHeight="1" x14ac:dyDescent="0.35">
      <c r="A450" s="17"/>
      <c r="B450" s="15"/>
      <c r="C450" s="15"/>
      <c r="D450" s="15"/>
      <c r="E450" s="15"/>
      <c r="F450" s="15"/>
      <c r="G450" s="18"/>
      <c r="H450" s="15"/>
      <c r="I450" s="15"/>
      <c r="J450" s="18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H450" s="15"/>
      <c r="AI450" s="15"/>
      <c r="AJ450" s="15"/>
      <c r="AK450" s="15"/>
    </row>
    <row r="451" spans="1:37" ht="14.5" customHeight="1" x14ac:dyDescent="0.35">
      <c r="A451" s="17"/>
      <c r="B451" s="15"/>
      <c r="C451" s="15"/>
      <c r="D451" s="15"/>
      <c r="E451" s="15"/>
      <c r="F451" s="15"/>
      <c r="G451" s="18"/>
      <c r="H451" s="15"/>
      <c r="I451" s="15"/>
      <c r="J451" s="18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H451" s="15"/>
      <c r="AI451" s="15"/>
      <c r="AJ451" s="15"/>
      <c r="AK451" s="15"/>
    </row>
    <row r="452" spans="1:37" ht="14.5" customHeight="1" x14ac:dyDescent="0.35">
      <c r="A452" s="17"/>
      <c r="B452" s="15"/>
      <c r="C452" s="15"/>
      <c r="D452" s="15"/>
      <c r="E452" s="15"/>
      <c r="F452" s="15"/>
      <c r="G452" s="18"/>
      <c r="H452" s="15"/>
      <c r="I452" s="15"/>
      <c r="J452" s="18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H452" s="15"/>
      <c r="AI452" s="15"/>
      <c r="AJ452" s="15"/>
      <c r="AK452" s="15"/>
    </row>
    <row r="453" spans="1:37" ht="14.5" customHeight="1" x14ac:dyDescent="0.35">
      <c r="A453" s="17"/>
      <c r="B453" s="15"/>
      <c r="C453" s="15"/>
      <c r="D453" s="15"/>
      <c r="E453" s="15"/>
      <c r="F453" s="15"/>
      <c r="G453" s="18"/>
      <c r="H453" s="15"/>
      <c r="I453" s="15"/>
      <c r="J453" s="18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H453" s="15"/>
      <c r="AI453" s="15"/>
      <c r="AJ453" s="15"/>
      <c r="AK453" s="15"/>
    </row>
    <row r="454" spans="1:37" ht="14.5" customHeight="1" x14ac:dyDescent="0.35">
      <c r="A454" s="17"/>
      <c r="B454" s="15"/>
      <c r="C454" s="15"/>
      <c r="D454" s="15"/>
      <c r="E454" s="15"/>
      <c r="F454" s="15"/>
      <c r="G454" s="18"/>
      <c r="H454" s="15"/>
      <c r="I454" s="15"/>
      <c r="J454" s="18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H454" s="15"/>
      <c r="AI454" s="15"/>
      <c r="AJ454" s="15"/>
      <c r="AK454" s="15"/>
    </row>
    <row r="455" spans="1:37" ht="14.5" customHeight="1" x14ac:dyDescent="0.35">
      <c r="A455" s="17"/>
      <c r="B455" s="15"/>
      <c r="C455" s="15"/>
      <c r="D455" s="15"/>
      <c r="E455" s="15"/>
      <c r="F455" s="15"/>
      <c r="G455" s="18"/>
      <c r="H455" s="15"/>
      <c r="I455" s="15"/>
      <c r="J455" s="18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H455" s="15"/>
      <c r="AI455" s="15"/>
      <c r="AJ455" s="15"/>
      <c r="AK455" s="15"/>
    </row>
    <row r="456" spans="1:37" ht="14.5" customHeight="1" x14ac:dyDescent="0.35">
      <c r="A456" s="17"/>
      <c r="B456" s="15"/>
      <c r="C456" s="15"/>
      <c r="D456" s="15"/>
      <c r="E456" s="15"/>
      <c r="F456" s="15"/>
      <c r="G456" s="18"/>
      <c r="H456" s="15"/>
      <c r="I456" s="15"/>
      <c r="J456" s="18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H456" s="15"/>
      <c r="AI456" s="15"/>
      <c r="AJ456" s="15"/>
      <c r="AK456" s="15"/>
    </row>
    <row r="457" spans="1:37" ht="14.5" customHeight="1" x14ac:dyDescent="0.35">
      <c r="A457" s="17"/>
      <c r="B457" s="15"/>
      <c r="C457" s="15"/>
      <c r="D457" s="15"/>
      <c r="E457" s="15"/>
      <c r="F457" s="15"/>
      <c r="G457" s="18"/>
      <c r="H457" s="15"/>
      <c r="I457" s="15"/>
      <c r="J457" s="18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H457" s="15"/>
      <c r="AI457" s="15"/>
      <c r="AJ457" s="15"/>
      <c r="AK457" s="15"/>
    </row>
    <row r="458" spans="1:37" ht="14.5" customHeight="1" x14ac:dyDescent="0.35">
      <c r="A458" s="17"/>
      <c r="B458" s="15"/>
      <c r="C458" s="15"/>
      <c r="D458" s="15"/>
      <c r="E458" s="15"/>
      <c r="F458" s="15"/>
      <c r="G458" s="18"/>
      <c r="H458" s="15"/>
      <c r="I458" s="15"/>
      <c r="J458" s="18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H458" s="15"/>
      <c r="AI458" s="15"/>
      <c r="AJ458" s="15"/>
      <c r="AK458" s="15"/>
    </row>
    <row r="459" spans="1:37" ht="14.5" customHeight="1" x14ac:dyDescent="0.35">
      <c r="A459" s="17"/>
      <c r="B459" s="15"/>
      <c r="C459" s="15"/>
      <c r="D459" s="15"/>
      <c r="E459" s="15"/>
      <c r="F459" s="15"/>
      <c r="G459" s="18"/>
      <c r="H459" s="15"/>
      <c r="I459" s="15"/>
      <c r="J459" s="18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H459" s="15"/>
      <c r="AI459" s="15"/>
      <c r="AJ459" s="15"/>
      <c r="AK459" s="15"/>
    </row>
    <row r="460" spans="1:37" ht="14.5" customHeight="1" x14ac:dyDescent="0.35">
      <c r="A460" s="17"/>
      <c r="B460" s="15"/>
      <c r="C460" s="15"/>
      <c r="D460" s="15"/>
      <c r="E460" s="15"/>
      <c r="F460" s="15"/>
      <c r="G460" s="18"/>
      <c r="H460" s="15"/>
      <c r="I460" s="15"/>
      <c r="J460" s="18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H460" s="15"/>
      <c r="AI460" s="15"/>
      <c r="AJ460" s="15"/>
      <c r="AK460" s="15"/>
    </row>
    <row r="461" spans="1:37" ht="14.5" customHeight="1" x14ac:dyDescent="0.35">
      <c r="A461" s="17"/>
      <c r="B461" s="15"/>
      <c r="C461" s="15"/>
      <c r="D461" s="15"/>
      <c r="E461" s="15"/>
      <c r="F461" s="15"/>
      <c r="G461" s="18"/>
      <c r="H461" s="15"/>
      <c r="I461" s="15"/>
      <c r="J461" s="18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H461" s="15"/>
      <c r="AI461" s="15"/>
      <c r="AJ461" s="15"/>
      <c r="AK461" s="15"/>
    </row>
    <row r="462" spans="1:37" ht="14.5" customHeight="1" x14ac:dyDescent="0.35">
      <c r="A462" s="17"/>
      <c r="B462" s="15"/>
      <c r="C462" s="15"/>
      <c r="D462" s="15"/>
      <c r="E462" s="15"/>
      <c r="F462" s="15"/>
      <c r="G462" s="18"/>
      <c r="H462" s="15"/>
      <c r="I462" s="15"/>
      <c r="J462" s="18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H462" s="15"/>
      <c r="AI462" s="15"/>
      <c r="AJ462" s="15"/>
      <c r="AK462" s="15"/>
    </row>
    <row r="463" spans="1:37" ht="14.5" customHeight="1" x14ac:dyDescent="0.35">
      <c r="A463" s="17"/>
      <c r="B463" s="15"/>
      <c r="C463" s="15"/>
      <c r="D463" s="15"/>
      <c r="E463" s="15"/>
      <c r="F463" s="15"/>
      <c r="G463" s="18"/>
      <c r="H463" s="15"/>
      <c r="I463" s="15"/>
      <c r="J463" s="18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H463" s="15"/>
      <c r="AI463" s="15"/>
      <c r="AJ463" s="15"/>
      <c r="AK463" s="15"/>
    </row>
    <row r="464" spans="1:37" ht="14.5" customHeight="1" x14ac:dyDescent="0.35">
      <c r="A464" s="17"/>
      <c r="B464" s="15"/>
      <c r="C464" s="15"/>
      <c r="D464" s="15"/>
      <c r="E464" s="15"/>
      <c r="F464" s="15"/>
      <c r="G464" s="18"/>
      <c r="H464" s="15"/>
      <c r="I464" s="15"/>
      <c r="J464" s="18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H464" s="15"/>
      <c r="AI464" s="15"/>
      <c r="AJ464" s="15"/>
      <c r="AK464" s="15"/>
    </row>
    <row r="465" spans="1:37" ht="14.5" customHeight="1" x14ac:dyDescent="0.35">
      <c r="A465" s="17"/>
      <c r="B465" s="15"/>
      <c r="C465" s="15"/>
      <c r="D465" s="15"/>
      <c r="E465" s="15"/>
      <c r="F465" s="15"/>
      <c r="G465" s="18"/>
      <c r="H465" s="15"/>
      <c r="I465" s="15"/>
      <c r="J465" s="18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H465" s="15"/>
      <c r="AI465" s="15"/>
      <c r="AJ465" s="15"/>
      <c r="AK465" s="15"/>
    </row>
    <row r="466" spans="1:37" ht="14.5" customHeight="1" x14ac:dyDescent="0.35">
      <c r="A466" s="17"/>
      <c r="B466" s="15"/>
      <c r="C466" s="15"/>
      <c r="D466" s="15"/>
      <c r="E466" s="15"/>
      <c r="F466" s="15"/>
      <c r="G466" s="18"/>
      <c r="H466" s="15"/>
      <c r="I466" s="15"/>
      <c r="J466" s="18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H466" s="15"/>
      <c r="AI466" s="15"/>
      <c r="AJ466" s="15"/>
      <c r="AK466" s="15"/>
    </row>
    <row r="467" spans="1:37" ht="14.5" customHeight="1" x14ac:dyDescent="0.35">
      <c r="A467" s="17"/>
      <c r="B467" s="15"/>
      <c r="C467" s="15"/>
      <c r="D467" s="15"/>
      <c r="E467" s="15"/>
      <c r="F467" s="15"/>
      <c r="G467" s="18"/>
      <c r="H467" s="15"/>
      <c r="I467" s="15"/>
      <c r="J467" s="18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H467" s="15"/>
      <c r="AI467" s="15"/>
      <c r="AJ467" s="15"/>
      <c r="AK467" s="15"/>
    </row>
    <row r="468" spans="1:37" ht="14.5" customHeight="1" x14ac:dyDescent="0.35">
      <c r="A468" s="17"/>
      <c r="B468" s="15"/>
      <c r="C468" s="15"/>
      <c r="D468" s="15"/>
      <c r="E468" s="15"/>
      <c r="F468" s="15"/>
      <c r="G468" s="18"/>
      <c r="H468" s="15"/>
      <c r="I468" s="15"/>
      <c r="J468" s="18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H468" s="15"/>
      <c r="AI468" s="15"/>
      <c r="AJ468" s="15"/>
      <c r="AK468" s="15"/>
    </row>
    <row r="469" spans="1:37" ht="14.5" customHeight="1" x14ac:dyDescent="0.35">
      <c r="A469" s="17"/>
      <c r="B469" s="15"/>
      <c r="C469" s="15"/>
      <c r="D469" s="15"/>
      <c r="E469" s="15"/>
      <c r="F469" s="15"/>
      <c r="G469" s="18"/>
      <c r="H469" s="15"/>
      <c r="I469" s="15"/>
      <c r="J469" s="18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H469" s="15"/>
      <c r="AI469" s="15"/>
      <c r="AJ469" s="15"/>
      <c r="AK469" s="15"/>
    </row>
    <row r="470" spans="1:37" ht="14.5" customHeight="1" x14ac:dyDescent="0.35">
      <c r="A470" s="17"/>
      <c r="B470" s="15"/>
      <c r="C470" s="15"/>
      <c r="D470" s="15"/>
      <c r="E470" s="15"/>
      <c r="F470" s="15"/>
      <c r="G470" s="18"/>
      <c r="H470" s="15"/>
      <c r="I470" s="15"/>
      <c r="J470" s="18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H470" s="15"/>
      <c r="AI470" s="15"/>
      <c r="AJ470" s="15"/>
      <c r="AK470" s="15"/>
    </row>
    <row r="471" spans="1:37" ht="14.5" customHeight="1" x14ac:dyDescent="0.35">
      <c r="A471" s="17"/>
      <c r="B471" s="15"/>
      <c r="C471" s="15"/>
      <c r="D471" s="15"/>
      <c r="E471" s="15"/>
      <c r="F471" s="15"/>
      <c r="G471" s="18"/>
      <c r="H471" s="15"/>
      <c r="I471" s="15"/>
      <c r="J471" s="18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H471" s="15"/>
      <c r="AI471" s="15"/>
      <c r="AJ471" s="15"/>
      <c r="AK471" s="15"/>
    </row>
    <row r="472" spans="1:37" ht="14.5" customHeight="1" x14ac:dyDescent="0.35">
      <c r="A472" s="17"/>
      <c r="B472" s="15"/>
      <c r="C472" s="15"/>
      <c r="D472" s="15"/>
      <c r="E472" s="15"/>
      <c r="F472" s="15"/>
      <c r="G472" s="18"/>
      <c r="H472" s="15"/>
      <c r="I472" s="15"/>
      <c r="J472" s="18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H472" s="15"/>
      <c r="AI472" s="15"/>
      <c r="AJ472" s="15"/>
      <c r="AK472" s="15"/>
    </row>
    <row r="473" spans="1:37" ht="14.5" customHeight="1" x14ac:dyDescent="0.35">
      <c r="A473" s="17"/>
      <c r="B473" s="15"/>
      <c r="C473" s="15"/>
      <c r="D473" s="15"/>
      <c r="E473" s="15"/>
      <c r="F473" s="15"/>
      <c r="G473" s="18"/>
      <c r="H473" s="15"/>
      <c r="I473" s="15"/>
      <c r="J473" s="18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H473" s="15"/>
      <c r="AI473" s="15"/>
      <c r="AJ473" s="15"/>
      <c r="AK473" s="15"/>
    </row>
    <row r="474" spans="1:37" ht="14.5" customHeight="1" x14ac:dyDescent="0.35">
      <c r="A474" s="17"/>
      <c r="B474" s="15"/>
      <c r="C474" s="15"/>
      <c r="D474" s="15"/>
      <c r="E474" s="15"/>
      <c r="F474" s="15"/>
      <c r="G474" s="18"/>
      <c r="H474" s="15"/>
      <c r="I474" s="15"/>
      <c r="J474" s="18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H474" s="15"/>
      <c r="AI474" s="15"/>
      <c r="AJ474" s="15"/>
      <c r="AK474" s="15"/>
    </row>
    <row r="475" spans="1:37" ht="14.5" customHeight="1" x14ac:dyDescent="0.35">
      <c r="A475" s="17"/>
      <c r="B475" s="15"/>
      <c r="C475" s="15"/>
      <c r="D475" s="15"/>
      <c r="E475" s="15"/>
      <c r="F475" s="15"/>
      <c r="G475" s="18"/>
      <c r="H475" s="15"/>
      <c r="I475" s="15"/>
      <c r="J475" s="18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H475" s="15"/>
      <c r="AI475" s="15"/>
      <c r="AJ475" s="15"/>
      <c r="AK475" s="15"/>
    </row>
    <row r="476" spans="1:37" ht="14.5" customHeight="1" x14ac:dyDescent="0.35">
      <c r="A476" s="17"/>
      <c r="B476" s="15"/>
      <c r="C476" s="15"/>
      <c r="D476" s="15"/>
      <c r="E476" s="15"/>
      <c r="F476" s="15"/>
      <c r="G476" s="18"/>
      <c r="H476" s="15"/>
      <c r="I476" s="15"/>
      <c r="J476" s="18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H476" s="15"/>
      <c r="AI476" s="15"/>
      <c r="AJ476" s="15"/>
      <c r="AK476" s="15"/>
    </row>
    <row r="477" spans="1:37" ht="14.5" customHeight="1" x14ac:dyDescent="0.35">
      <c r="A477" s="17"/>
      <c r="B477" s="15"/>
      <c r="C477" s="15"/>
      <c r="D477" s="15"/>
      <c r="E477" s="15"/>
      <c r="F477" s="15"/>
      <c r="G477" s="18"/>
      <c r="H477" s="15"/>
      <c r="I477" s="15"/>
      <c r="J477" s="18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H477" s="15"/>
      <c r="AI477" s="15"/>
      <c r="AJ477" s="15"/>
      <c r="AK477" s="15"/>
    </row>
    <row r="478" spans="1:37" ht="14.5" customHeight="1" x14ac:dyDescent="0.35">
      <c r="A478" s="17"/>
      <c r="B478" s="15"/>
      <c r="C478" s="15"/>
      <c r="D478" s="15"/>
      <c r="E478" s="15"/>
      <c r="F478" s="15"/>
      <c r="G478" s="18"/>
      <c r="H478" s="15"/>
      <c r="I478" s="15"/>
      <c r="J478" s="18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H478" s="15"/>
      <c r="AI478" s="15"/>
      <c r="AJ478" s="15"/>
      <c r="AK478" s="15"/>
    </row>
    <row r="479" spans="1:37" ht="14.5" customHeight="1" x14ac:dyDescent="0.35">
      <c r="A479" s="17"/>
      <c r="B479" s="15"/>
      <c r="C479" s="15"/>
      <c r="D479" s="15"/>
      <c r="E479" s="15"/>
      <c r="F479" s="15"/>
      <c r="G479" s="18"/>
      <c r="H479" s="15"/>
      <c r="I479" s="15"/>
      <c r="J479" s="18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H479" s="15"/>
      <c r="AI479" s="15"/>
      <c r="AJ479" s="15"/>
      <c r="AK479" s="15"/>
    </row>
    <row r="480" spans="1:37" ht="14.5" customHeight="1" x14ac:dyDescent="0.35">
      <c r="A480" s="17"/>
      <c r="B480" s="15"/>
      <c r="C480" s="15"/>
      <c r="D480" s="15"/>
      <c r="E480" s="15"/>
      <c r="F480" s="15"/>
      <c r="G480" s="18"/>
      <c r="H480" s="15"/>
      <c r="I480" s="15"/>
      <c r="J480" s="18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H480" s="15"/>
      <c r="AI480" s="15"/>
      <c r="AJ480" s="15"/>
      <c r="AK480" s="15"/>
    </row>
    <row r="481" spans="1:37" ht="14.5" customHeight="1" x14ac:dyDescent="0.35">
      <c r="A481" s="17"/>
      <c r="B481" s="15"/>
      <c r="C481" s="15"/>
      <c r="D481" s="15"/>
      <c r="E481" s="15"/>
      <c r="F481" s="15"/>
      <c r="G481" s="18"/>
      <c r="H481" s="15"/>
      <c r="I481" s="15"/>
      <c r="J481" s="18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H481" s="15"/>
      <c r="AI481" s="15"/>
      <c r="AJ481" s="15"/>
      <c r="AK481" s="15"/>
    </row>
    <row r="482" spans="1:37" ht="14.5" customHeight="1" x14ac:dyDescent="0.35">
      <c r="A482" s="17"/>
      <c r="B482" s="15"/>
      <c r="C482" s="15"/>
      <c r="D482" s="15"/>
      <c r="E482" s="15"/>
      <c r="F482" s="15"/>
      <c r="G482" s="18"/>
      <c r="H482" s="15"/>
      <c r="I482" s="15"/>
      <c r="J482" s="18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H482" s="15"/>
      <c r="AI482" s="15"/>
      <c r="AJ482" s="15"/>
      <c r="AK482" s="15"/>
    </row>
    <row r="483" spans="1:37" ht="14.5" customHeight="1" x14ac:dyDescent="0.35">
      <c r="A483" s="17"/>
      <c r="B483" s="15"/>
      <c r="C483" s="15"/>
      <c r="D483" s="15"/>
      <c r="E483" s="15"/>
      <c r="F483" s="15"/>
      <c r="G483" s="18"/>
      <c r="H483" s="15"/>
      <c r="I483" s="15"/>
      <c r="J483" s="18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H483" s="15"/>
      <c r="AI483" s="15"/>
      <c r="AJ483" s="15"/>
      <c r="AK483" s="15"/>
    </row>
    <row r="484" spans="1:37" ht="14.5" customHeight="1" x14ac:dyDescent="0.35">
      <c r="A484" s="17"/>
      <c r="B484" s="15"/>
      <c r="C484" s="15"/>
      <c r="D484" s="15"/>
      <c r="E484" s="15"/>
      <c r="F484" s="15"/>
      <c r="G484" s="18"/>
      <c r="H484" s="15"/>
      <c r="I484" s="15"/>
      <c r="J484" s="18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H484" s="15"/>
      <c r="AI484" s="15"/>
      <c r="AJ484" s="15"/>
      <c r="AK484" s="15"/>
    </row>
    <row r="485" spans="1:37" ht="14.5" customHeight="1" x14ac:dyDescent="0.35">
      <c r="A485" s="17"/>
      <c r="B485" s="15"/>
      <c r="C485" s="15"/>
      <c r="D485" s="15"/>
      <c r="E485" s="15"/>
      <c r="F485" s="15"/>
      <c r="G485" s="18"/>
      <c r="H485" s="15"/>
      <c r="I485" s="15"/>
      <c r="J485" s="18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H485" s="15"/>
      <c r="AI485" s="15"/>
      <c r="AJ485" s="15"/>
      <c r="AK485" s="15"/>
    </row>
    <row r="486" spans="1:37" ht="14.5" customHeight="1" x14ac:dyDescent="0.35">
      <c r="A486" s="17"/>
      <c r="B486" s="15"/>
      <c r="C486" s="15"/>
      <c r="D486" s="15"/>
      <c r="E486" s="15"/>
      <c r="F486" s="15"/>
      <c r="G486" s="18"/>
      <c r="H486" s="15"/>
      <c r="I486" s="15"/>
      <c r="J486" s="18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H486" s="15"/>
      <c r="AI486" s="15"/>
      <c r="AJ486" s="15"/>
      <c r="AK486" s="15"/>
    </row>
    <row r="487" spans="1:37" ht="14.5" customHeight="1" x14ac:dyDescent="0.35">
      <c r="A487" s="17"/>
      <c r="B487" s="15"/>
      <c r="C487" s="15"/>
      <c r="D487" s="15"/>
      <c r="E487" s="15"/>
      <c r="F487" s="15"/>
      <c r="G487" s="18"/>
      <c r="H487" s="15"/>
      <c r="I487" s="15"/>
      <c r="J487" s="18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H487" s="15"/>
      <c r="AI487" s="15"/>
      <c r="AJ487" s="15"/>
      <c r="AK487" s="15"/>
    </row>
    <row r="488" spans="1:37" ht="14.5" customHeight="1" x14ac:dyDescent="0.35">
      <c r="A488" s="17"/>
      <c r="B488" s="15"/>
      <c r="C488" s="15"/>
      <c r="D488" s="15"/>
      <c r="E488" s="15"/>
      <c r="F488" s="15"/>
      <c r="G488" s="18"/>
      <c r="H488" s="15"/>
      <c r="I488" s="15"/>
      <c r="J488" s="18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H488" s="15"/>
      <c r="AI488" s="15"/>
      <c r="AJ488" s="15"/>
      <c r="AK488" s="15"/>
    </row>
    <row r="489" spans="1:37" ht="14.5" customHeight="1" x14ac:dyDescent="0.35">
      <c r="A489" s="17"/>
      <c r="B489" s="15"/>
      <c r="C489" s="15"/>
      <c r="D489" s="15"/>
      <c r="E489" s="15"/>
      <c r="F489" s="15"/>
      <c r="G489" s="18"/>
      <c r="H489" s="15"/>
      <c r="I489" s="15"/>
      <c r="J489" s="18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H489" s="15"/>
      <c r="AI489" s="15"/>
      <c r="AJ489" s="15"/>
      <c r="AK489" s="15"/>
    </row>
    <row r="490" spans="1:37" ht="14.5" customHeight="1" x14ac:dyDescent="0.35">
      <c r="A490" s="17"/>
      <c r="B490" s="15"/>
      <c r="C490" s="15"/>
      <c r="D490" s="15"/>
      <c r="E490" s="15"/>
      <c r="F490" s="15"/>
      <c r="G490" s="18"/>
      <c r="H490" s="15"/>
      <c r="I490" s="15"/>
      <c r="J490" s="18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H490" s="15"/>
      <c r="AI490" s="15"/>
      <c r="AJ490" s="15"/>
      <c r="AK490" s="15"/>
    </row>
    <row r="491" spans="1:37" ht="14.5" customHeight="1" x14ac:dyDescent="0.35">
      <c r="A491" s="17"/>
      <c r="B491" s="15"/>
      <c r="C491" s="15"/>
      <c r="D491" s="15"/>
      <c r="E491" s="15"/>
      <c r="F491" s="15"/>
      <c r="G491" s="18"/>
      <c r="H491" s="15"/>
      <c r="I491" s="15"/>
      <c r="J491" s="18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H491" s="15"/>
      <c r="AI491" s="15"/>
      <c r="AJ491" s="15"/>
      <c r="AK491" s="15"/>
    </row>
    <row r="492" spans="1:37" ht="14.5" customHeight="1" x14ac:dyDescent="0.35">
      <c r="A492" s="17"/>
      <c r="B492" s="15"/>
      <c r="C492" s="15"/>
      <c r="D492" s="15"/>
      <c r="E492" s="15"/>
      <c r="F492" s="15"/>
      <c r="G492" s="18"/>
      <c r="H492" s="15"/>
      <c r="I492" s="15"/>
      <c r="J492" s="18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H492" s="15"/>
      <c r="AI492" s="15"/>
      <c r="AJ492" s="15"/>
      <c r="AK492" s="15"/>
    </row>
    <row r="493" spans="1:37" ht="14.5" customHeight="1" x14ac:dyDescent="0.35">
      <c r="A493" s="17"/>
      <c r="B493" s="15"/>
      <c r="C493" s="15"/>
      <c r="D493" s="15"/>
      <c r="E493" s="15"/>
      <c r="F493" s="15"/>
      <c r="G493" s="18"/>
      <c r="H493" s="15"/>
      <c r="I493" s="15"/>
      <c r="J493" s="18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H493" s="15"/>
      <c r="AI493" s="15"/>
      <c r="AJ493" s="15"/>
      <c r="AK493" s="15"/>
    </row>
    <row r="494" spans="1:37" ht="14.5" customHeight="1" x14ac:dyDescent="0.35">
      <c r="A494" s="17"/>
      <c r="B494" s="15"/>
      <c r="C494" s="15"/>
      <c r="D494" s="15"/>
      <c r="E494" s="15"/>
      <c r="F494" s="15"/>
      <c r="G494" s="18"/>
      <c r="H494" s="15"/>
      <c r="I494" s="15"/>
      <c r="J494" s="18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H494" s="15"/>
      <c r="AI494" s="15"/>
      <c r="AJ494" s="15"/>
      <c r="AK494" s="15"/>
    </row>
    <row r="495" spans="1:37" ht="14.5" customHeight="1" x14ac:dyDescent="0.35">
      <c r="A495" s="17"/>
      <c r="B495" s="15"/>
      <c r="C495" s="15"/>
      <c r="D495" s="15"/>
      <c r="E495" s="15"/>
      <c r="F495" s="15"/>
      <c r="G495" s="18"/>
      <c r="H495" s="15"/>
      <c r="I495" s="15"/>
      <c r="J495" s="18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H495" s="15"/>
      <c r="AI495" s="15"/>
      <c r="AJ495" s="15"/>
      <c r="AK495" s="15"/>
    </row>
    <row r="496" spans="1:37" ht="14.5" customHeight="1" x14ac:dyDescent="0.35">
      <c r="A496" s="17"/>
      <c r="B496" s="15"/>
      <c r="C496" s="15"/>
      <c r="D496" s="15"/>
      <c r="E496" s="15"/>
      <c r="F496" s="15"/>
      <c r="G496" s="18"/>
      <c r="H496" s="15"/>
      <c r="I496" s="15"/>
      <c r="J496" s="18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H496" s="15"/>
      <c r="AI496" s="15"/>
      <c r="AJ496" s="15"/>
      <c r="AK496" s="15"/>
    </row>
    <row r="497" spans="1:37" ht="14.5" customHeight="1" x14ac:dyDescent="0.35">
      <c r="A497" s="17"/>
      <c r="B497" s="15"/>
      <c r="C497" s="15"/>
      <c r="D497" s="15"/>
      <c r="E497" s="15"/>
      <c r="F497" s="15"/>
      <c r="G497" s="18"/>
      <c r="H497" s="15"/>
      <c r="I497" s="15"/>
      <c r="J497" s="18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H497" s="15"/>
      <c r="AI497" s="15"/>
      <c r="AJ497" s="15"/>
      <c r="AK497" s="15"/>
    </row>
    <row r="498" spans="1:37" ht="14.5" customHeight="1" x14ac:dyDescent="0.35">
      <c r="A498" s="17"/>
      <c r="B498" s="15"/>
      <c r="C498" s="15"/>
      <c r="D498" s="15"/>
      <c r="E498" s="15"/>
      <c r="F498" s="15"/>
      <c r="G498" s="18"/>
      <c r="H498" s="15"/>
      <c r="I498" s="15"/>
      <c r="J498" s="18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H498" s="15"/>
      <c r="AI498" s="15"/>
      <c r="AJ498" s="15"/>
      <c r="AK498" s="15"/>
    </row>
    <row r="499" spans="1:37" ht="14.5" customHeight="1" x14ac:dyDescent="0.35">
      <c r="A499" s="17"/>
      <c r="B499" s="15"/>
      <c r="C499" s="15"/>
      <c r="D499" s="15"/>
      <c r="E499" s="15"/>
      <c r="F499" s="15"/>
      <c r="G499" s="18"/>
      <c r="H499" s="15"/>
      <c r="I499" s="15"/>
      <c r="J499" s="18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H499" s="15"/>
      <c r="AI499" s="15"/>
      <c r="AJ499" s="15"/>
      <c r="AK499" s="15"/>
    </row>
  </sheetData>
  <autoFilter ref="A1:BB499" xr:uid="{00000000-0009-0000-0000-000000000000}"/>
  <conditionalFormatting sqref="G1:G499 J1:J999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N1:Q345">
    <cfRule type="containsText" dxfId="3" priority="5" operator="containsText" text="buy">
      <formula>NOT(ISERROR(SEARCH(("buy"),(N1))))</formula>
    </cfRule>
    <cfRule type="containsText" dxfId="2" priority="6" operator="containsText" text="Sell">
      <formula>NOT(ISERROR(SEARCH(("Sell"),(N1))))</formula>
    </cfRule>
  </conditionalFormatting>
  <conditionalFormatting sqref="S1:S999">
    <cfRule type="cellIs" dxfId="1" priority="4" operator="equal">
      <formula>"Anco"</formula>
    </cfRule>
  </conditionalFormatting>
  <conditionalFormatting sqref="AC1:AC499">
    <cfRule type="cellIs" dxfId="0" priority="3" operator="equal">
      <formula>"Anco"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8"/>
  <sheetViews>
    <sheetView tabSelected="1" topLeftCell="F1" workbookViewId="0">
      <selection activeCell="L12" sqref="L12"/>
    </sheetView>
  </sheetViews>
  <sheetFormatPr defaultRowHeight="12.5" x14ac:dyDescent="0.25"/>
  <cols>
    <col min="2" max="2" width="14.36328125" bestFit="1" customWidth="1"/>
    <col min="3" max="3" width="12.453125" bestFit="1" customWidth="1"/>
    <col min="19" max="19" width="13.6328125" bestFit="1" customWidth="1"/>
    <col min="20" max="20" width="20" bestFit="1" customWidth="1"/>
  </cols>
  <sheetData>
    <row r="1" spans="1:21" ht="13" x14ac:dyDescent="0.25">
      <c r="A1" s="21" t="s">
        <v>362</v>
      </c>
      <c r="B1" s="21" t="s">
        <v>363</v>
      </c>
      <c r="C1" s="21" t="s">
        <v>364</v>
      </c>
      <c r="D1" s="21" t="s">
        <v>365</v>
      </c>
      <c r="E1" s="21" t="s">
        <v>366</v>
      </c>
      <c r="F1" s="21" t="s">
        <v>367</v>
      </c>
      <c r="G1" s="21" t="s">
        <v>368</v>
      </c>
      <c r="H1" s="21" t="s">
        <v>378</v>
      </c>
      <c r="I1" s="21" t="s">
        <v>369</v>
      </c>
      <c r="J1" s="21" t="s">
        <v>370</v>
      </c>
      <c r="K1" s="21" t="s">
        <v>371</v>
      </c>
      <c r="L1" s="21" t="s">
        <v>372</v>
      </c>
      <c r="M1" s="21" t="s">
        <v>373</v>
      </c>
      <c r="N1" s="21" t="s">
        <v>374</v>
      </c>
      <c r="O1" s="21" t="s">
        <v>375</v>
      </c>
      <c r="P1" s="21" t="s">
        <v>376</v>
      </c>
      <c r="Q1" s="21" t="s">
        <v>377</v>
      </c>
      <c r="R1" s="21" t="s">
        <v>379</v>
      </c>
      <c r="S1" s="21" t="s">
        <v>380</v>
      </c>
      <c r="T1" s="21" t="s">
        <v>381</v>
      </c>
      <c r="U1" s="21" t="s">
        <v>382</v>
      </c>
    </row>
    <row r="2" spans="1:21" x14ac:dyDescent="0.25">
      <c r="A2" t="s">
        <v>161</v>
      </c>
      <c r="B2">
        <v>-18.522851421305589</v>
      </c>
      <c r="C2">
        <v>-2.429653679653685</v>
      </c>
      <c r="D2" t="s">
        <v>383</v>
      </c>
      <c r="E2">
        <v>1</v>
      </c>
      <c r="F2" t="s">
        <v>383</v>
      </c>
      <c r="G2">
        <v>4</v>
      </c>
      <c r="H2">
        <v>180.31</v>
      </c>
      <c r="I2">
        <v>213.3141</v>
      </c>
      <c r="J2">
        <v>197.37010000000001</v>
      </c>
      <c r="K2">
        <v>193.7662</v>
      </c>
      <c r="L2" s="19">
        <v>45716</v>
      </c>
      <c r="M2" s="19">
        <v>45712</v>
      </c>
      <c r="N2" s="19">
        <v>45716</v>
      </c>
      <c r="O2">
        <v>183</v>
      </c>
      <c r="P2">
        <v>183.69</v>
      </c>
      <c r="Q2">
        <v>175.5</v>
      </c>
      <c r="R2">
        <v>718672</v>
      </c>
      <c r="S2">
        <v>882053.45</v>
      </c>
      <c r="T2" t="s">
        <v>384</v>
      </c>
      <c r="U2">
        <v>37.442987399562561</v>
      </c>
    </row>
    <row r="3" spans="1:21" x14ac:dyDescent="0.25">
      <c r="A3" t="s">
        <v>300</v>
      </c>
      <c r="B3">
        <v>214.30151560046841</v>
      </c>
      <c r="C3">
        <v>1.7303889255108771</v>
      </c>
      <c r="D3" t="s">
        <v>385</v>
      </c>
      <c r="E3">
        <v>1</v>
      </c>
      <c r="F3" t="s">
        <v>385</v>
      </c>
      <c r="G3">
        <v>7</v>
      </c>
      <c r="H3">
        <v>617.29999999999995</v>
      </c>
      <c r="I3">
        <v>590.34334999999999</v>
      </c>
      <c r="J3">
        <v>591.95809999999994</v>
      </c>
      <c r="K3">
        <v>559.42459999999994</v>
      </c>
      <c r="L3" s="19">
        <v>45716</v>
      </c>
      <c r="M3" s="19">
        <v>45707</v>
      </c>
      <c r="N3" s="19">
        <v>45716</v>
      </c>
      <c r="O3">
        <v>609.95000000000005</v>
      </c>
      <c r="P3">
        <v>620</v>
      </c>
      <c r="Q3">
        <v>602.25</v>
      </c>
      <c r="R3">
        <v>23771834</v>
      </c>
      <c r="S3">
        <v>7563385.0999999996</v>
      </c>
      <c r="T3" t="s">
        <v>386</v>
      </c>
      <c r="U3">
        <v>67.355374566939361</v>
      </c>
    </row>
    <row r="4" spans="1:21" x14ac:dyDescent="0.25">
      <c r="A4" t="s">
        <v>177</v>
      </c>
      <c r="B4">
        <v>18.295647966848328</v>
      </c>
      <c r="C4">
        <v>-2.8292175376066608</v>
      </c>
      <c r="D4" t="s">
        <v>383</v>
      </c>
      <c r="E4">
        <v>1</v>
      </c>
      <c r="F4" t="s">
        <v>383</v>
      </c>
      <c r="G4">
        <v>10</v>
      </c>
      <c r="H4">
        <v>4389.3500000000004</v>
      </c>
      <c r="I4">
        <v>4420.4645</v>
      </c>
      <c r="J4">
        <v>4489.6809999999996</v>
      </c>
      <c r="K4">
        <v>4666.5630000000001</v>
      </c>
      <c r="L4" s="19">
        <v>45716</v>
      </c>
      <c r="M4" s="19">
        <v>45702</v>
      </c>
      <c r="N4" s="19">
        <v>45716</v>
      </c>
      <c r="O4">
        <v>4485.05</v>
      </c>
      <c r="P4">
        <v>4508.1499999999996</v>
      </c>
      <c r="Q4">
        <v>4360.6000000000004</v>
      </c>
      <c r="R4">
        <v>134968</v>
      </c>
      <c r="S4">
        <v>114093.8</v>
      </c>
      <c r="T4" t="s">
        <v>384</v>
      </c>
      <c r="U4">
        <v>34.615906941779727</v>
      </c>
    </row>
    <row r="5" spans="1:21" x14ac:dyDescent="0.25">
      <c r="A5" t="s">
        <v>88</v>
      </c>
      <c r="B5">
        <v>31.47651201262185</v>
      </c>
      <c r="C5">
        <v>0.34836817015035121</v>
      </c>
      <c r="D5" t="s">
        <v>385</v>
      </c>
      <c r="E5">
        <v>2</v>
      </c>
      <c r="F5" t="s">
        <v>385</v>
      </c>
      <c r="G5">
        <v>7</v>
      </c>
      <c r="H5">
        <v>1641.9</v>
      </c>
      <c r="I5">
        <v>1555.6257499999999</v>
      </c>
      <c r="J5">
        <v>1580.5239999999999</v>
      </c>
      <c r="K5">
        <v>1483.539</v>
      </c>
      <c r="L5" s="19">
        <v>45715</v>
      </c>
      <c r="M5" s="19">
        <v>45707</v>
      </c>
      <c r="N5" s="19">
        <v>45716</v>
      </c>
      <c r="O5">
        <v>1634.05</v>
      </c>
      <c r="P5">
        <v>1670</v>
      </c>
      <c r="Q5">
        <v>1543.85</v>
      </c>
      <c r="R5">
        <v>403663</v>
      </c>
      <c r="S5">
        <v>307022.90000000002</v>
      </c>
      <c r="T5" t="s">
        <v>386</v>
      </c>
      <c r="U5">
        <v>66.918429382439712</v>
      </c>
    </row>
    <row r="6" spans="1:21" x14ac:dyDescent="0.25">
      <c r="A6" t="s">
        <v>134</v>
      </c>
      <c r="B6">
        <v>32.129508101026488</v>
      </c>
      <c r="C6">
        <v>-3.1012261702317971</v>
      </c>
      <c r="D6" t="s">
        <v>383</v>
      </c>
      <c r="E6">
        <v>2</v>
      </c>
      <c r="F6" t="s">
        <v>383</v>
      </c>
      <c r="G6">
        <v>10</v>
      </c>
      <c r="H6">
        <v>1082.6500000000001</v>
      </c>
      <c r="I6">
        <v>1045.51325</v>
      </c>
      <c r="J6">
        <v>1205.9549999999999</v>
      </c>
      <c r="K6">
        <v>1284.751</v>
      </c>
      <c r="L6" s="19">
        <v>45715</v>
      </c>
      <c r="M6" s="19">
        <v>45702</v>
      </c>
      <c r="N6" s="19">
        <v>45716</v>
      </c>
      <c r="O6">
        <v>1100.55</v>
      </c>
      <c r="P6">
        <v>1138.6500000000001</v>
      </c>
      <c r="Q6">
        <v>1064.05</v>
      </c>
      <c r="R6">
        <v>219560</v>
      </c>
      <c r="S6">
        <v>166170.29999999999</v>
      </c>
      <c r="T6" t="s">
        <v>386</v>
      </c>
      <c r="U6">
        <v>31.8663391607429</v>
      </c>
    </row>
    <row r="7" spans="1:21" x14ac:dyDescent="0.25">
      <c r="A7" t="s">
        <v>106</v>
      </c>
      <c r="B7">
        <v>24.679914430328861</v>
      </c>
      <c r="C7">
        <v>-2.4137255600270699</v>
      </c>
      <c r="D7" t="s">
        <v>383</v>
      </c>
      <c r="E7">
        <v>3</v>
      </c>
      <c r="F7" t="s">
        <v>383</v>
      </c>
      <c r="G7">
        <v>5</v>
      </c>
      <c r="H7">
        <v>5480.25</v>
      </c>
      <c r="I7">
        <v>5348.0670000000009</v>
      </c>
      <c r="J7">
        <v>5908.3129999999992</v>
      </c>
      <c r="K7">
        <v>5863.3820000000014</v>
      </c>
      <c r="L7" s="19">
        <v>45713</v>
      </c>
      <c r="M7" s="19">
        <v>45709</v>
      </c>
      <c r="N7" s="19">
        <v>45716</v>
      </c>
      <c r="O7">
        <v>5600</v>
      </c>
      <c r="P7">
        <v>5600</v>
      </c>
      <c r="Q7">
        <v>5364.85</v>
      </c>
      <c r="R7">
        <v>564464</v>
      </c>
      <c r="S7">
        <v>452730.5</v>
      </c>
      <c r="T7" t="s">
        <v>386</v>
      </c>
      <c r="U7">
        <v>36.023318637803747</v>
      </c>
    </row>
    <row r="8" spans="1:21" x14ac:dyDescent="0.25">
      <c r="A8" t="s">
        <v>341</v>
      </c>
      <c r="B8">
        <v>202.37801083725759</v>
      </c>
      <c r="C8">
        <v>-3.0552325164031999</v>
      </c>
      <c r="D8" t="s">
        <v>383</v>
      </c>
      <c r="E8">
        <v>3</v>
      </c>
      <c r="F8" t="s">
        <v>383</v>
      </c>
      <c r="G8">
        <v>8</v>
      </c>
      <c r="H8">
        <v>10128.450000000001</v>
      </c>
      <c r="I8">
        <v>11246.162</v>
      </c>
      <c r="J8">
        <v>11256.2745</v>
      </c>
      <c r="K8">
        <v>11220.446</v>
      </c>
      <c r="L8" s="19">
        <v>45713</v>
      </c>
      <c r="M8" s="19">
        <v>45706</v>
      </c>
      <c r="N8" s="19">
        <v>45716</v>
      </c>
      <c r="O8">
        <v>10490</v>
      </c>
      <c r="P8">
        <v>10490</v>
      </c>
      <c r="Q8">
        <v>10047.85</v>
      </c>
      <c r="R8">
        <v>1230856</v>
      </c>
      <c r="S8">
        <v>407058.7</v>
      </c>
      <c r="T8" t="s">
        <v>384</v>
      </c>
      <c r="U8">
        <v>27.46522383652999</v>
      </c>
    </row>
    <row r="9" spans="1:21" x14ac:dyDescent="0.25">
      <c r="A9" t="s">
        <v>162</v>
      </c>
      <c r="B9">
        <v>116.8747714467768</v>
      </c>
      <c r="C9">
        <v>0.37977688108236052</v>
      </c>
      <c r="D9" t="s">
        <v>385</v>
      </c>
      <c r="E9">
        <v>3</v>
      </c>
      <c r="F9" t="s">
        <v>385</v>
      </c>
      <c r="G9">
        <v>15</v>
      </c>
      <c r="H9">
        <v>634.35</v>
      </c>
      <c r="I9">
        <v>661.00150000000008</v>
      </c>
      <c r="J9">
        <v>641.45950000000005</v>
      </c>
      <c r="K9">
        <v>603.92899999999997</v>
      </c>
      <c r="L9" s="19">
        <v>45713</v>
      </c>
      <c r="M9" s="19">
        <v>45695</v>
      </c>
      <c r="N9" s="19">
        <v>45716</v>
      </c>
      <c r="O9">
        <v>630</v>
      </c>
      <c r="P9">
        <v>636.6</v>
      </c>
      <c r="Q9">
        <v>619.45000000000005</v>
      </c>
      <c r="R9">
        <v>13041185</v>
      </c>
      <c r="S9">
        <v>6013232.8499999996</v>
      </c>
      <c r="T9" t="s">
        <v>384</v>
      </c>
      <c r="U9">
        <v>58.126599417845341</v>
      </c>
    </row>
    <row r="10" spans="1:21" x14ac:dyDescent="0.25">
      <c r="A10" t="s">
        <v>98</v>
      </c>
      <c r="B10">
        <v>182.255941161854</v>
      </c>
      <c r="C10">
        <v>-5.3888517165062559</v>
      </c>
      <c r="D10" t="s">
        <v>383</v>
      </c>
      <c r="E10">
        <v>4</v>
      </c>
      <c r="F10" t="s">
        <v>383</v>
      </c>
      <c r="G10">
        <v>10</v>
      </c>
      <c r="H10">
        <v>919.1</v>
      </c>
      <c r="I10">
        <v>1125.14625</v>
      </c>
      <c r="J10">
        <v>951.19299999999998</v>
      </c>
      <c r="K10">
        <v>951.85800000000006</v>
      </c>
      <c r="L10" s="19">
        <v>45712</v>
      </c>
      <c r="M10" s="19">
        <v>45702</v>
      </c>
      <c r="N10" s="19">
        <v>45716</v>
      </c>
      <c r="O10">
        <v>939.8</v>
      </c>
      <c r="P10">
        <v>960</v>
      </c>
      <c r="Q10">
        <v>898</v>
      </c>
      <c r="R10">
        <v>9603068</v>
      </c>
      <c r="S10">
        <v>3402255.4</v>
      </c>
      <c r="T10" t="s">
        <v>384</v>
      </c>
      <c r="U10">
        <v>46.361323043517977</v>
      </c>
    </row>
    <row r="11" spans="1:21" x14ac:dyDescent="0.25">
      <c r="A11" t="s">
        <v>44</v>
      </c>
      <c r="B11">
        <v>-2.3221957888009088</v>
      </c>
      <c r="C11">
        <v>-0.34684333593141431</v>
      </c>
      <c r="D11" t="s">
        <v>383</v>
      </c>
      <c r="E11">
        <v>5</v>
      </c>
      <c r="F11" t="s">
        <v>383</v>
      </c>
      <c r="G11">
        <v>10</v>
      </c>
      <c r="H11">
        <v>1278.55</v>
      </c>
      <c r="I11">
        <v>1643.1410000000001</v>
      </c>
      <c r="J11">
        <v>1362.3335</v>
      </c>
      <c r="K11">
        <v>1325.4549999999999</v>
      </c>
      <c r="L11" s="19">
        <v>45709</v>
      </c>
      <c r="M11" s="19">
        <v>45702</v>
      </c>
      <c r="N11" s="19">
        <v>45716</v>
      </c>
      <c r="O11">
        <v>1260.0999999999999</v>
      </c>
      <c r="P11">
        <v>1293.7</v>
      </c>
      <c r="Q11">
        <v>1233</v>
      </c>
      <c r="R11">
        <v>27509</v>
      </c>
      <c r="S11">
        <v>28163</v>
      </c>
      <c r="T11" t="s">
        <v>384</v>
      </c>
      <c r="U11">
        <v>42.181748571975852</v>
      </c>
    </row>
    <row r="12" spans="1:21" x14ac:dyDescent="0.25">
      <c r="A12" t="s">
        <v>200</v>
      </c>
      <c r="B12">
        <v>-41.992083401436922</v>
      </c>
      <c r="C12">
        <v>-2.9696578437701779</v>
      </c>
      <c r="D12" t="s">
        <v>383</v>
      </c>
      <c r="E12">
        <v>5</v>
      </c>
      <c r="F12" t="s">
        <v>383</v>
      </c>
      <c r="G12">
        <v>12</v>
      </c>
      <c r="H12">
        <v>526.04999999999995</v>
      </c>
      <c r="I12">
        <v>441.23599999999999</v>
      </c>
      <c r="J12">
        <v>536.63499999999999</v>
      </c>
      <c r="K12">
        <v>585.81600000000003</v>
      </c>
      <c r="L12" s="19">
        <v>45709</v>
      </c>
      <c r="M12" s="19">
        <v>45700</v>
      </c>
      <c r="N12" s="19">
        <v>45716</v>
      </c>
      <c r="O12">
        <v>528</v>
      </c>
      <c r="P12">
        <v>538.75</v>
      </c>
      <c r="Q12">
        <v>513.29999999999995</v>
      </c>
      <c r="R12">
        <v>326508</v>
      </c>
      <c r="S12">
        <v>562868</v>
      </c>
      <c r="T12" t="s">
        <v>386</v>
      </c>
      <c r="U12">
        <v>39.215789376720672</v>
      </c>
    </row>
    <row r="13" spans="1:21" x14ac:dyDescent="0.25">
      <c r="A13" t="s">
        <v>140</v>
      </c>
      <c r="B13">
        <v>-78.921687735524287</v>
      </c>
      <c r="C13">
        <v>-5.5534358426494794</v>
      </c>
      <c r="D13" t="s">
        <v>385</v>
      </c>
      <c r="E13">
        <v>6</v>
      </c>
      <c r="F13" t="s">
        <v>385</v>
      </c>
      <c r="G13">
        <v>9</v>
      </c>
      <c r="H13">
        <v>2475.35</v>
      </c>
      <c r="I13">
        <v>2514.5655000000002</v>
      </c>
      <c r="J13">
        <v>2353.7455</v>
      </c>
      <c r="K13">
        <v>2196.2289999999998</v>
      </c>
      <c r="L13" s="19">
        <v>45708</v>
      </c>
      <c r="M13" s="19">
        <v>45705</v>
      </c>
      <c r="N13" s="19">
        <v>45716</v>
      </c>
      <c r="O13">
        <v>2580</v>
      </c>
      <c r="P13">
        <v>2585.1</v>
      </c>
      <c r="Q13">
        <v>2455.0500000000002</v>
      </c>
      <c r="R13">
        <v>173151</v>
      </c>
      <c r="S13">
        <v>821465.2</v>
      </c>
      <c r="T13" t="s">
        <v>386</v>
      </c>
      <c r="U13">
        <v>58.357807667565048</v>
      </c>
    </row>
    <row r="14" spans="1:21" x14ac:dyDescent="0.25">
      <c r="A14" t="s">
        <v>265</v>
      </c>
      <c r="B14">
        <v>-32.08071365087725</v>
      </c>
      <c r="C14">
        <v>0.71138674814172598</v>
      </c>
      <c r="D14" t="s">
        <v>383</v>
      </c>
      <c r="E14">
        <v>6</v>
      </c>
      <c r="F14" t="s">
        <v>383</v>
      </c>
      <c r="G14">
        <v>13</v>
      </c>
      <c r="H14">
        <v>1104.25</v>
      </c>
      <c r="I14">
        <v>974.23950000000002</v>
      </c>
      <c r="J14">
        <v>1148.133</v>
      </c>
      <c r="K14">
        <v>1205.692</v>
      </c>
      <c r="L14" s="19">
        <v>45708</v>
      </c>
      <c r="M14" s="19">
        <v>45699</v>
      </c>
      <c r="N14" s="19">
        <v>45716</v>
      </c>
      <c r="O14">
        <v>1050</v>
      </c>
      <c r="P14">
        <v>1111.95</v>
      </c>
      <c r="Q14">
        <v>1041.05</v>
      </c>
      <c r="R14">
        <v>51583</v>
      </c>
      <c r="S14">
        <v>75947.5</v>
      </c>
      <c r="T14" t="s">
        <v>386</v>
      </c>
      <c r="U14">
        <v>42.5019373567184</v>
      </c>
    </row>
    <row r="15" spans="1:21" x14ac:dyDescent="0.25">
      <c r="A15" t="s">
        <v>360</v>
      </c>
      <c r="B15">
        <v>-40.904032774451842</v>
      </c>
      <c r="C15">
        <v>-0.7392033662184061</v>
      </c>
      <c r="D15" t="s">
        <v>383</v>
      </c>
      <c r="E15">
        <v>7</v>
      </c>
      <c r="F15" t="s">
        <v>383</v>
      </c>
      <c r="G15">
        <v>12</v>
      </c>
      <c r="H15">
        <v>1745.65</v>
      </c>
      <c r="I15">
        <v>1914.0995</v>
      </c>
      <c r="J15">
        <v>1918.692</v>
      </c>
      <c r="K15">
        <v>1977.6869999999999</v>
      </c>
      <c r="L15" s="19">
        <v>45707</v>
      </c>
      <c r="M15" s="19">
        <v>45700</v>
      </c>
      <c r="N15" s="19">
        <v>45716</v>
      </c>
      <c r="O15">
        <v>1730.05</v>
      </c>
      <c r="P15">
        <v>1785.25</v>
      </c>
      <c r="Q15">
        <v>1708</v>
      </c>
      <c r="R15">
        <v>9506</v>
      </c>
      <c r="S15">
        <v>16085.7</v>
      </c>
      <c r="T15" t="s">
        <v>384</v>
      </c>
      <c r="U15">
        <v>39.827067090250978</v>
      </c>
    </row>
    <row r="16" spans="1:21" x14ac:dyDescent="0.25">
      <c r="A16" t="s">
        <v>30</v>
      </c>
      <c r="B16">
        <v>7.6510216412430623</v>
      </c>
      <c r="C16">
        <v>-1.9753163470690169</v>
      </c>
      <c r="D16" t="s">
        <v>383</v>
      </c>
      <c r="E16">
        <v>7</v>
      </c>
      <c r="F16" t="s">
        <v>383</v>
      </c>
      <c r="G16">
        <v>13</v>
      </c>
      <c r="H16">
        <v>3141.25</v>
      </c>
      <c r="I16">
        <v>3900.953</v>
      </c>
      <c r="J16">
        <v>3586.4470000000001</v>
      </c>
      <c r="K16">
        <v>3476.0909999999999</v>
      </c>
      <c r="L16" s="19">
        <v>45707</v>
      </c>
      <c r="M16" s="19">
        <v>45699</v>
      </c>
      <c r="N16" s="19">
        <v>45716</v>
      </c>
      <c r="O16">
        <v>3190.55</v>
      </c>
      <c r="P16">
        <v>3212.8</v>
      </c>
      <c r="Q16">
        <v>3105</v>
      </c>
      <c r="R16">
        <v>57103</v>
      </c>
      <c r="S16">
        <v>53044.55</v>
      </c>
      <c r="T16" t="s">
        <v>384</v>
      </c>
      <c r="U16">
        <v>21.928385397756571</v>
      </c>
    </row>
    <row r="17" spans="1:21" x14ac:dyDescent="0.25">
      <c r="A17" t="s">
        <v>102</v>
      </c>
      <c r="B17">
        <v>150.7943559982686</v>
      </c>
      <c r="C17">
        <v>-1.977148534525581</v>
      </c>
      <c r="D17" t="s">
        <v>383</v>
      </c>
      <c r="E17">
        <v>7</v>
      </c>
      <c r="F17" t="s">
        <v>383</v>
      </c>
      <c r="G17">
        <v>13</v>
      </c>
      <c r="H17">
        <v>493.3</v>
      </c>
      <c r="I17">
        <v>570.93349999999998</v>
      </c>
      <c r="J17">
        <v>524.99149999999997</v>
      </c>
      <c r="K17">
        <v>517.47</v>
      </c>
      <c r="L17" s="19">
        <v>45707</v>
      </c>
      <c r="M17" s="19">
        <v>45699</v>
      </c>
      <c r="N17" s="19">
        <v>45716</v>
      </c>
      <c r="O17">
        <v>500.3</v>
      </c>
      <c r="P17">
        <v>504.45</v>
      </c>
      <c r="Q17">
        <v>490.85</v>
      </c>
      <c r="R17">
        <v>5530947</v>
      </c>
      <c r="S17">
        <v>2205371.4</v>
      </c>
      <c r="T17" t="s">
        <v>384</v>
      </c>
      <c r="U17">
        <v>34.226495066965278</v>
      </c>
    </row>
    <row r="18" spans="1:21" x14ac:dyDescent="0.25">
      <c r="A18" t="s">
        <v>145</v>
      </c>
      <c r="B18">
        <v>-33.731191822728881</v>
      </c>
      <c r="C18">
        <v>-1.9266791544019239</v>
      </c>
      <c r="D18" t="s">
        <v>383</v>
      </c>
      <c r="E18">
        <v>7</v>
      </c>
      <c r="F18" t="s">
        <v>383</v>
      </c>
      <c r="G18">
        <v>14</v>
      </c>
      <c r="H18">
        <v>366.5</v>
      </c>
      <c r="I18">
        <v>318.34629999999999</v>
      </c>
      <c r="J18">
        <v>404.55049999999989</v>
      </c>
      <c r="K18">
        <v>446.73399999999998</v>
      </c>
      <c r="L18" s="19">
        <v>45707</v>
      </c>
      <c r="M18" s="19">
        <v>45698</v>
      </c>
      <c r="N18" s="19">
        <v>45716</v>
      </c>
      <c r="O18">
        <v>368.45</v>
      </c>
      <c r="P18">
        <v>383.75</v>
      </c>
      <c r="Q18">
        <v>359.8</v>
      </c>
      <c r="R18">
        <v>1350338</v>
      </c>
      <c r="S18">
        <v>2037667.55</v>
      </c>
      <c r="T18" t="s">
        <v>386</v>
      </c>
      <c r="U18">
        <v>36.35413824143069</v>
      </c>
    </row>
    <row r="19" spans="1:21" x14ac:dyDescent="0.25">
      <c r="A19" t="s">
        <v>219</v>
      </c>
      <c r="B19">
        <v>91.71538113817293</v>
      </c>
      <c r="C19">
        <v>-5.1878747868185169</v>
      </c>
      <c r="D19" t="s">
        <v>383</v>
      </c>
      <c r="E19">
        <v>8</v>
      </c>
      <c r="F19" t="s">
        <v>383</v>
      </c>
      <c r="G19">
        <v>11</v>
      </c>
      <c r="H19">
        <v>2585.1</v>
      </c>
      <c r="I19">
        <v>2880.67175</v>
      </c>
      <c r="J19">
        <v>2964.895</v>
      </c>
      <c r="K19">
        <v>2965.5230000000001</v>
      </c>
      <c r="L19" s="19">
        <v>45706</v>
      </c>
      <c r="M19" s="19">
        <v>45701</v>
      </c>
      <c r="N19" s="19">
        <v>45716</v>
      </c>
      <c r="O19">
        <v>2695.1</v>
      </c>
      <c r="P19">
        <v>2699</v>
      </c>
      <c r="Q19">
        <v>2572.1999999999998</v>
      </c>
      <c r="R19">
        <v>7549863</v>
      </c>
      <c r="S19">
        <v>3938058.05</v>
      </c>
      <c r="T19" t="s">
        <v>384</v>
      </c>
      <c r="U19">
        <v>32.377516304854574</v>
      </c>
    </row>
    <row r="20" spans="1:21" x14ac:dyDescent="0.25">
      <c r="A20" t="s">
        <v>112</v>
      </c>
      <c r="B20">
        <v>71.926301165080829</v>
      </c>
      <c r="C20">
        <v>-3.280316077398433</v>
      </c>
      <c r="D20" t="s">
        <v>383</v>
      </c>
      <c r="E20">
        <v>8</v>
      </c>
      <c r="F20" t="s">
        <v>383</v>
      </c>
      <c r="G20">
        <v>13</v>
      </c>
      <c r="H20">
        <v>4773.6000000000004</v>
      </c>
      <c r="I20">
        <v>4870.2790000000005</v>
      </c>
      <c r="J20">
        <v>4925.6499999999996</v>
      </c>
      <c r="K20">
        <v>5042.4380000000001</v>
      </c>
      <c r="L20" s="19">
        <v>45706</v>
      </c>
      <c r="M20" s="19">
        <v>45699</v>
      </c>
      <c r="N20" s="19">
        <v>45716</v>
      </c>
      <c r="O20">
        <v>4910.05</v>
      </c>
      <c r="P20">
        <v>4931.95</v>
      </c>
      <c r="Q20">
        <v>4755</v>
      </c>
      <c r="R20">
        <v>1076243</v>
      </c>
      <c r="S20">
        <v>625990.9</v>
      </c>
      <c r="T20" t="s">
        <v>384</v>
      </c>
      <c r="U20">
        <v>38.978098498253722</v>
      </c>
    </row>
    <row r="21" spans="1:21" x14ac:dyDescent="0.25">
      <c r="A21" t="s">
        <v>172</v>
      </c>
      <c r="B21">
        <v>51.435531869377151</v>
      </c>
      <c r="C21">
        <v>-4.4050258684404957</v>
      </c>
      <c r="D21" t="s">
        <v>383</v>
      </c>
      <c r="E21">
        <v>8</v>
      </c>
      <c r="F21" t="s">
        <v>383</v>
      </c>
      <c r="G21">
        <v>13</v>
      </c>
      <c r="H21">
        <v>323.35000000000002</v>
      </c>
      <c r="I21">
        <v>369.77499999999998</v>
      </c>
      <c r="J21">
        <v>347.30399999999997</v>
      </c>
      <c r="K21">
        <v>344.23500000000013</v>
      </c>
      <c r="L21" s="19">
        <v>45706</v>
      </c>
      <c r="M21" s="19">
        <v>45699</v>
      </c>
      <c r="N21" s="19">
        <v>45716</v>
      </c>
      <c r="O21">
        <v>337.9</v>
      </c>
      <c r="P21">
        <v>337.9</v>
      </c>
      <c r="Q21">
        <v>321.89999999999998</v>
      </c>
      <c r="R21">
        <v>9209911</v>
      </c>
      <c r="S21">
        <v>6081737.1500000004</v>
      </c>
      <c r="T21" t="s">
        <v>384</v>
      </c>
      <c r="U21">
        <v>36.92029918486967</v>
      </c>
    </row>
    <row r="22" spans="1:21" x14ac:dyDescent="0.25">
      <c r="A22" t="s">
        <v>208</v>
      </c>
      <c r="B22">
        <v>48.68705849023371</v>
      </c>
      <c r="C22">
        <v>-1.984574868322059</v>
      </c>
      <c r="D22" t="s">
        <v>383</v>
      </c>
      <c r="E22">
        <v>8</v>
      </c>
      <c r="F22" t="s">
        <v>383</v>
      </c>
      <c r="G22">
        <v>13</v>
      </c>
      <c r="H22">
        <v>521.04999999999995</v>
      </c>
      <c r="I22">
        <v>518.81290000000001</v>
      </c>
      <c r="J22">
        <v>584.721</v>
      </c>
      <c r="K22">
        <v>601.024</v>
      </c>
      <c r="L22" s="19">
        <v>45706</v>
      </c>
      <c r="M22" s="19">
        <v>45699</v>
      </c>
      <c r="N22" s="19">
        <v>45716</v>
      </c>
      <c r="O22">
        <v>531.6</v>
      </c>
      <c r="P22">
        <v>531.6</v>
      </c>
      <c r="Q22">
        <v>509.9</v>
      </c>
      <c r="R22">
        <v>885925</v>
      </c>
      <c r="S22">
        <v>595831.94999999995</v>
      </c>
      <c r="T22" t="s">
        <v>386</v>
      </c>
      <c r="U22">
        <v>30.635513955504351</v>
      </c>
    </row>
    <row r="23" spans="1:21" x14ac:dyDescent="0.25">
      <c r="A23" t="s">
        <v>77</v>
      </c>
      <c r="B23">
        <v>59.685784162262237</v>
      </c>
      <c r="C23">
        <v>-3.9171614953583749</v>
      </c>
      <c r="D23" t="s">
        <v>383</v>
      </c>
      <c r="E23">
        <v>8</v>
      </c>
      <c r="F23" t="s">
        <v>383</v>
      </c>
      <c r="G23">
        <v>16</v>
      </c>
      <c r="H23">
        <v>4595.45</v>
      </c>
      <c r="I23">
        <v>5408.5150000000003</v>
      </c>
      <c r="J23">
        <v>5106.7945</v>
      </c>
      <c r="K23">
        <v>4894.0379999999996</v>
      </c>
      <c r="L23" s="19">
        <v>45706</v>
      </c>
      <c r="M23" s="19">
        <v>45694</v>
      </c>
      <c r="N23" s="19">
        <v>45716</v>
      </c>
      <c r="O23">
        <v>4782.8</v>
      </c>
      <c r="P23">
        <v>4786.45</v>
      </c>
      <c r="Q23">
        <v>4553.8</v>
      </c>
      <c r="R23">
        <v>676501</v>
      </c>
      <c r="S23">
        <v>423645.1</v>
      </c>
      <c r="T23" t="s">
        <v>384</v>
      </c>
      <c r="U23">
        <v>26.895322668041771</v>
      </c>
    </row>
    <row r="24" spans="1:21" x14ac:dyDescent="0.25">
      <c r="A24" t="s">
        <v>293</v>
      </c>
      <c r="B24">
        <v>9.2780635352470355</v>
      </c>
      <c r="C24">
        <v>-2.828066416711299</v>
      </c>
      <c r="D24" t="s">
        <v>385</v>
      </c>
      <c r="E24">
        <v>9</v>
      </c>
      <c r="F24" t="s">
        <v>383</v>
      </c>
      <c r="G24">
        <v>1</v>
      </c>
      <c r="H24">
        <v>453.55</v>
      </c>
      <c r="I24">
        <v>383.40809999999999</v>
      </c>
      <c r="J24">
        <v>462.50049999999999</v>
      </c>
      <c r="K24">
        <v>460.62900000000002</v>
      </c>
      <c r="L24" s="19">
        <v>45705</v>
      </c>
      <c r="M24" s="19">
        <v>45716</v>
      </c>
      <c r="N24" s="19">
        <v>45716</v>
      </c>
      <c r="O24">
        <v>459</v>
      </c>
      <c r="P24">
        <v>460.55</v>
      </c>
      <c r="Q24">
        <v>441.6</v>
      </c>
      <c r="R24">
        <v>614361</v>
      </c>
      <c r="S24">
        <v>562199.75</v>
      </c>
      <c r="T24" t="s">
        <v>386</v>
      </c>
      <c r="U24">
        <v>45.505645212104177</v>
      </c>
    </row>
    <row r="25" spans="1:21" x14ac:dyDescent="0.25">
      <c r="A25" t="s">
        <v>144</v>
      </c>
      <c r="B25">
        <v>-86.166803981847153</v>
      </c>
      <c r="C25">
        <v>-3.3577294820939749</v>
      </c>
      <c r="D25" t="s">
        <v>385</v>
      </c>
      <c r="E25">
        <v>9</v>
      </c>
      <c r="F25" t="s">
        <v>383</v>
      </c>
      <c r="G25">
        <v>2</v>
      </c>
      <c r="H25">
        <v>5189.3999999999996</v>
      </c>
      <c r="I25">
        <v>5353.1612500000001</v>
      </c>
      <c r="J25">
        <v>5663.3684999999996</v>
      </c>
      <c r="K25">
        <v>5046.6970000000001</v>
      </c>
      <c r="L25" s="19">
        <v>45705</v>
      </c>
      <c r="M25" s="19">
        <v>45715</v>
      </c>
      <c r="N25" s="19">
        <v>45716</v>
      </c>
      <c r="O25">
        <v>5300</v>
      </c>
      <c r="P25">
        <v>5360</v>
      </c>
      <c r="Q25">
        <v>5116.55</v>
      </c>
      <c r="R25">
        <v>143169</v>
      </c>
      <c r="S25">
        <v>1034966.9</v>
      </c>
      <c r="T25" t="s">
        <v>386</v>
      </c>
      <c r="U25">
        <v>46.895471127475481</v>
      </c>
    </row>
    <row r="26" spans="1:21" x14ac:dyDescent="0.25">
      <c r="A26" t="s">
        <v>97</v>
      </c>
      <c r="B26">
        <v>13.404020408109639</v>
      </c>
      <c r="C26">
        <v>-0.15274034141958401</v>
      </c>
      <c r="D26" t="s">
        <v>383</v>
      </c>
      <c r="E26">
        <v>9</v>
      </c>
      <c r="F26" t="s">
        <v>383</v>
      </c>
      <c r="G26">
        <v>10</v>
      </c>
      <c r="H26">
        <v>1666.95</v>
      </c>
      <c r="I26">
        <v>1676.1410000000001</v>
      </c>
      <c r="J26">
        <v>1768.4</v>
      </c>
      <c r="K26">
        <v>1825.0029999999999</v>
      </c>
      <c r="L26" s="19">
        <v>45705</v>
      </c>
      <c r="M26" s="19">
        <v>45702</v>
      </c>
      <c r="N26" s="19">
        <v>45716</v>
      </c>
      <c r="O26">
        <v>1642.5</v>
      </c>
      <c r="P26">
        <v>1675.75</v>
      </c>
      <c r="Q26">
        <v>1623.75</v>
      </c>
      <c r="R26">
        <v>690645</v>
      </c>
      <c r="S26">
        <v>609012.80000000005</v>
      </c>
      <c r="T26" t="s">
        <v>386</v>
      </c>
      <c r="U26">
        <v>35.703260608219964</v>
      </c>
    </row>
    <row r="27" spans="1:21" x14ac:dyDescent="0.25">
      <c r="A27" t="s">
        <v>85</v>
      </c>
      <c r="B27">
        <v>-58.238141412259623</v>
      </c>
      <c r="C27">
        <v>-4.1771815646168058</v>
      </c>
      <c r="D27" t="s">
        <v>383</v>
      </c>
      <c r="E27">
        <v>9</v>
      </c>
      <c r="F27" t="s">
        <v>383</v>
      </c>
      <c r="G27">
        <v>12</v>
      </c>
      <c r="H27">
        <v>721.45</v>
      </c>
      <c r="I27">
        <v>772.62699999999995</v>
      </c>
      <c r="J27">
        <v>801.19600000000003</v>
      </c>
      <c r="K27">
        <v>788.005</v>
      </c>
      <c r="L27" s="19">
        <v>45705</v>
      </c>
      <c r="M27" s="19">
        <v>45700</v>
      </c>
      <c r="N27" s="19">
        <v>45716</v>
      </c>
      <c r="O27">
        <v>700</v>
      </c>
      <c r="P27">
        <v>748.5</v>
      </c>
      <c r="Q27">
        <v>700</v>
      </c>
      <c r="R27">
        <v>280657</v>
      </c>
      <c r="S27">
        <v>672041.45</v>
      </c>
      <c r="T27" t="s">
        <v>384</v>
      </c>
      <c r="U27">
        <v>37.060657834509492</v>
      </c>
    </row>
    <row r="28" spans="1:21" x14ac:dyDescent="0.25">
      <c r="A28" t="s">
        <v>211</v>
      </c>
      <c r="B28">
        <v>-17.86445673451972</v>
      </c>
      <c r="C28">
        <v>-3.4124309986379089</v>
      </c>
      <c r="D28" t="s">
        <v>383</v>
      </c>
      <c r="E28">
        <v>9</v>
      </c>
      <c r="F28" t="s">
        <v>383</v>
      </c>
      <c r="G28">
        <v>12</v>
      </c>
      <c r="H28">
        <v>134.72999999999999</v>
      </c>
      <c r="I28">
        <v>158.59485000000001</v>
      </c>
      <c r="J28">
        <v>144.1619</v>
      </c>
      <c r="K28">
        <v>140.61199999999999</v>
      </c>
      <c r="L28" s="19">
        <v>45705</v>
      </c>
      <c r="M28" s="19">
        <v>45700</v>
      </c>
      <c r="N28" s="19">
        <v>45716</v>
      </c>
      <c r="O28">
        <v>138</v>
      </c>
      <c r="P28">
        <v>138.22999999999999</v>
      </c>
      <c r="Q28">
        <v>133.11000000000001</v>
      </c>
      <c r="R28">
        <v>3681827</v>
      </c>
      <c r="S28">
        <v>4482623.3</v>
      </c>
      <c r="T28" t="s">
        <v>384</v>
      </c>
      <c r="U28">
        <v>42.522045120859872</v>
      </c>
    </row>
    <row r="29" spans="1:21" x14ac:dyDescent="0.25">
      <c r="A29" t="s">
        <v>226</v>
      </c>
      <c r="B29">
        <v>61.948178069401749</v>
      </c>
      <c r="C29">
        <v>-3.6419059842772228</v>
      </c>
      <c r="D29" t="s">
        <v>383</v>
      </c>
      <c r="E29">
        <v>9</v>
      </c>
      <c r="F29" t="s">
        <v>383</v>
      </c>
      <c r="G29">
        <v>15</v>
      </c>
      <c r="H29">
        <v>600.6</v>
      </c>
      <c r="I29">
        <v>647.39800000000002</v>
      </c>
      <c r="J29">
        <v>643.8125</v>
      </c>
      <c r="K29">
        <v>649.23099999999999</v>
      </c>
      <c r="L29" s="19">
        <v>45705</v>
      </c>
      <c r="M29" s="19">
        <v>45695</v>
      </c>
      <c r="N29" s="19">
        <v>45716</v>
      </c>
      <c r="O29">
        <v>620.79999999999995</v>
      </c>
      <c r="P29">
        <v>624.54999999999995</v>
      </c>
      <c r="Q29">
        <v>598.04999999999995</v>
      </c>
      <c r="R29">
        <v>2680280</v>
      </c>
      <c r="S29">
        <v>1655023.25</v>
      </c>
      <c r="T29" t="s">
        <v>384</v>
      </c>
      <c r="U29">
        <v>30.479723361024199</v>
      </c>
    </row>
    <row r="30" spans="1:21" x14ac:dyDescent="0.25">
      <c r="A30" t="s">
        <v>327</v>
      </c>
      <c r="B30">
        <v>-9.709106462325126</v>
      </c>
      <c r="C30">
        <v>-4.2818136180529276</v>
      </c>
      <c r="D30" t="s">
        <v>385</v>
      </c>
      <c r="E30">
        <v>10</v>
      </c>
      <c r="F30" t="s">
        <v>385</v>
      </c>
      <c r="G30">
        <v>10</v>
      </c>
      <c r="H30">
        <v>3908.7</v>
      </c>
      <c r="I30">
        <v>3037.504750000001</v>
      </c>
      <c r="J30">
        <v>3288.5630000000001</v>
      </c>
      <c r="K30">
        <v>3357.5720000000001</v>
      </c>
      <c r="L30" s="19">
        <v>45702</v>
      </c>
      <c r="M30" s="19">
        <v>45702</v>
      </c>
      <c r="N30" s="19">
        <v>45716</v>
      </c>
      <c r="O30">
        <v>4045</v>
      </c>
      <c r="P30">
        <v>4055.7</v>
      </c>
      <c r="Q30">
        <v>3780.35</v>
      </c>
      <c r="R30">
        <v>18788</v>
      </c>
      <c r="S30">
        <v>20808.3</v>
      </c>
      <c r="T30" t="s">
        <v>386</v>
      </c>
      <c r="U30">
        <v>58.559091810083864</v>
      </c>
    </row>
    <row r="31" spans="1:21" x14ac:dyDescent="0.25">
      <c r="A31" t="s">
        <v>148</v>
      </c>
      <c r="B31">
        <v>-30.90838074431122</v>
      </c>
      <c r="C31">
        <v>-2.5421895283427092</v>
      </c>
      <c r="D31" t="s">
        <v>383</v>
      </c>
      <c r="E31">
        <v>10</v>
      </c>
      <c r="F31" t="s">
        <v>383</v>
      </c>
      <c r="G31">
        <v>12</v>
      </c>
      <c r="H31">
        <v>450.45</v>
      </c>
      <c r="I31">
        <v>559.64650000000006</v>
      </c>
      <c r="J31">
        <v>547.86350000000004</v>
      </c>
      <c r="K31">
        <v>551.26699999999994</v>
      </c>
      <c r="L31" s="19">
        <v>45702</v>
      </c>
      <c r="M31" s="19">
        <v>45700</v>
      </c>
      <c r="N31" s="19">
        <v>45716</v>
      </c>
      <c r="O31">
        <v>461.95</v>
      </c>
      <c r="P31">
        <v>461.95</v>
      </c>
      <c r="Q31">
        <v>446.75</v>
      </c>
      <c r="R31">
        <v>16097</v>
      </c>
      <c r="S31">
        <v>23298.05</v>
      </c>
      <c r="T31" t="s">
        <v>384</v>
      </c>
      <c r="U31">
        <v>23.316402815558849</v>
      </c>
    </row>
    <row r="32" spans="1:21" x14ac:dyDescent="0.25">
      <c r="A32" t="s">
        <v>262</v>
      </c>
      <c r="B32">
        <v>56.33819541137963</v>
      </c>
      <c r="C32">
        <v>2.3977246419949072</v>
      </c>
      <c r="D32" t="s">
        <v>383</v>
      </c>
      <c r="E32">
        <v>10</v>
      </c>
      <c r="F32" t="s">
        <v>383</v>
      </c>
      <c r="G32">
        <v>13</v>
      </c>
      <c r="H32">
        <v>1548.1</v>
      </c>
      <c r="I32">
        <v>1688.02575</v>
      </c>
      <c r="J32">
        <v>1616.6210000000001</v>
      </c>
      <c r="K32">
        <v>1608.289</v>
      </c>
      <c r="L32" s="19">
        <v>45702</v>
      </c>
      <c r="M32" s="19">
        <v>45699</v>
      </c>
      <c r="N32" s="19">
        <v>45716</v>
      </c>
      <c r="O32">
        <v>1510.5</v>
      </c>
      <c r="P32">
        <v>1554.85</v>
      </c>
      <c r="Q32">
        <v>1465.05</v>
      </c>
      <c r="R32">
        <v>1165867</v>
      </c>
      <c r="S32">
        <v>745733.95</v>
      </c>
      <c r="T32" t="s">
        <v>384</v>
      </c>
      <c r="U32">
        <v>45.395598696967198</v>
      </c>
    </row>
    <row r="33" spans="1:21" x14ac:dyDescent="0.25">
      <c r="A33" t="s">
        <v>138</v>
      </c>
      <c r="B33">
        <v>21.944824418233591</v>
      </c>
      <c r="C33">
        <v>-1.2725254078059689</v>
      </c>
      <c r="D33" t="s">
        <v>383</v>
      </c>
      <c r="E33">
        <v>10</v>
      </c>
      <c r="F33" t="s">
        <v>383</v>
      </c>
      <c r="G33">
        <v>19</v>
      </c>
      <c r="H33">
        <v>578</v>
      </c>
      <c r="I33">
        <v>619.37900000000002</v>
      </c>
      <c r="J33">
        <v>647.63099999999997</v>
      </c>
      <c r="K33">
        <v>679.47399999999993</v>
      </c>
      <c r="L33" s="19">
        <v>45702</v>
      </c>
      <c r="M33" s="19">
        <v>45691</v>
      </c>
      <c r="N33" s="19">
        <v>45716</v>
      </c>
      <c r="O33">
        <v>584</v>
      </c>
      <c r="P33">
        <v>585.75</v>
      </c>
      <c r="Q33">
        <v>550.45000000000005</v>
      </c>
      <c r="R33">
        <v>269982</v>
      </c>
      <c r="S33">
        <v>221396.85</v>
      </c>
      <c r="T33" t="s">
        <v>386</v>
      </c>
      <c r="U33">
        <v>30.62669574888039</v>
      </c>
    </row>
    <row r="34" spans="1:21" x14ac:dyDescent="0.25">
      <c r="A34" t="s">
        <v>66</v>
      </c>
      <c r="B34">
        <v>-35.52357960161536</v>
      </c>
      <c r="C34">
        <v>-3.3052944087085581</v>
      </c>
      <c r="D34" t="s">
        <v>385</v>
      </c>
      <c r="E34">
        <v>11</v>
      </c>
      <c r="F34" t="s">
        <v>385</v>
      </c>
      <c r="G34">
        <v>38</v>
      </c>
      <c r="H34">
        <v>488.55</v>
      </c>
      <c r="I34">
        <v>516.13750000000005</v>
      </c>
      <c r="J34">
        <v>490.6705</v>
      </c>
      <c r="K34">
        <v>471.68599999999998</v>
      </c>
      <c r="L34" s="19">
        <v>45701</v>
      </c>
      <c r="M34" s="19">
        <v>45665</v>
      </c>
      <c r="N34" s="19">
        <v>45716</v>
      </c>
      <c r="O34">
        <v>495.5</v>
      </c>
      <c r="P34">
        <v>501.15</v>
      </c>
      <c r="Q34">
        <v>486</v>
      </c>
      <c r="R34">
        <v>700093</v>
      </c>
      <c r="S34">
        <v>1085812.45</v>
      </c>
      <c r="T34" t="s">
        <v>384</v>
      </c>
      <c r="U34">
        <v>52.000352515754479</v>
      </c>
    </row>
    <row r="35" spans="1:21" x14ac:dyDescent="0.25">
      <c r="A35" t="s">
        <v>182</v>
      </c>
      <c r="B35">
        <v>512.16100112019137</v>
      </c>
      <c r="C35">
        <v>-3.088023088023085</v>
      </c>
      <c r="D35" t="s">
        <v>383</v>
      </c>
      <c r="E35">
        <v>12</v>
      </c>
      <c r="F35" t="s">
        <v>383</v>
      </c>
      <c r="G35">
        <v>12</v>
      </c>
      <c r="H35">
        <v>671.6</v>
      </c>
      <c r="I35">
        <v>805.16324999999995</v>
      </c>
      <c r="J35">
        <v>793.74300000000005</v>
      </c>
      <c r="K35">
        <v>788.22400000000005</v>
      </c>
      <c r="L35" s="19">
        <v>45700</v>
      </c>
      <c r="M35" s="19">
        <v>45700</v>
      </c>
      <c r="N35" s="19">
        <v>45716</v>
      </c>
      <c r="O35">
        <v>694</v>
      </c>
      <c r="P35">
        <v>698</v>
      </c>
      <c r="Q35">
        <v>660.5</v>
      </c>
      <c r="R35">
        <v>1226572</v>
      </c>
      <c r="S35">
        <v>200367.55</v>
      </c>
      <c r="T35" t="s">
        <v>384</v>
      </c>
      <c r="U35">
        <v>25.249281792885469</v>
      </c>
    </row>
    <row r="36" spans="1:21" x14ac:dyDescent="0.25">
      <c r="A36" t="s">
        <v>228</v>
      </c>
      <c r="B36">
        <v>21.122335359106099</v>
      </c>
      <c r="C36">
        <v>-3.7397893908079909</v>
      </c>
      <c r="D36" t="s">
        <v>383</v>
      </c>
      <c r="E36">
        <v>12</v>
      </c>
      <c r="F36" t="s">
        <v>383</v>
      </c>
      <c r="G36">
        <v>13</v>
      </c>
      <c r="H36">
        <v>978.1</v>
      </c>
      <c r="I36">
        <v>975.41875000000005</v>
      </c>
      <c r="J36">
        <v>1056.146</v>
      </c>
      <c r="K36">
        <v>1086.173</v>
      </c>
      <c r="L36" s="19">
        <v>45700</v>
      </c>
      <c r="M36" s="19">
        <v>45699</v>
      </c>
      <c r="N36" s="19">
        <v>45716</v>
      </c>
      <c r="O36">
        <v>1009.6</v>
      </c>
      <c r="P36">
        <v>1012</v>
      </c>
      <c r="Q36">
        <v>965.05</v>
      </c>
      <c r="R36">
        <v>3484870</v>
      </c>
      <c r="S36">
        <v>2877148.95</v>
      </c>
      <c r="T36" t="s">
        <v>386</v>
      </c>
      <c r="U36">
        <v>38.848674177771002</v>
      </c>
    </row>
    <row r="37" spans="1:21" x14ac:dyDescent="0.25">
      <c r="A37" t="s">
        <v>230</v>
      </c>
      <c r="B37">
        <v>-78.885310001235169</v>
      </c>
      <c r="C37">
        <v>-3.8514502108615201</v>
      </c>
      <c r="D37" t="s">
        <v>383</v>
      </c>
      <c r="E37">
        <v>12</v>
      </c>
      <c r="F37" t="s">
        <v>383</v>
      </c>
      <c r="G37">
        <v>13</v>
      </c>
      <c r="H37">
        <v>1117.1500000000001</v>
      </c>
      <c r="I37">
        <v>1233.0877499999999</v>
      </c>
      <c r="J37">
        <v>1211.8844999999999</v>
      </c>
      <c r="K37">
        <v>1213.5619999999999</v>
      </c>
      <c r="L37" s="19">
        <v>45700</v>
      </c>
      <c r="M37" s="19">
        <v>45699</v>
      </c>
      <c r="N37" s="19">
        <v>45716</v>
      </c>
      <c r="O37">
        <v>1160.05</v>
      </c>
      <c r="P37">
        <v>1161.9000000000001</v>
      </c>
      <c r="Q37">
        <v>1110.5999999999999</v>
      </c>
      <c r="R37">
        <v>29830</v>
      </c>
      <c r="S37">
        <v>141276.04999999999</v>
      </c>
      <c r="T37" t="s">
        <v>384</v>
      </c>
      <c r="U37">
        <v>41.136757480977458</v>
      </c>
    </row>
    <row r="38" spans="1:21" x14ac:dyDescent="0.25">
      <c r="A38" t="s">
        <v>242</v>
      </c>
      <c r="B38">
        <v>-38.814432408224128</v>
      </c>
      <c r="C38">
        <v>-0.64446831364125001</v>
      </c>
      <c r="D38" t="s">
        <v>383</v>
      </c>
      <c r="E38">
        <v>13</v>
      </c>
      <c r="F38" t="s">
        <v>385</v>
      </c>
      <c r="G38">
        <v>2</v>
      </c>
      <c r="H38">
        <v>138.75</v>
      </c>
      <c r="I38">
        <v>147.0463</v>
      </c>
      <c r="J38">
        <v>139.84450000000001</v>
      </c>
      <c r="K38">
        <v>139.20840000000001</v>
      </c>
      <c r="L38" s="19">
        <v>45699</v>
      </c>
      <c r="M38" s="19">
        <v>45715</v>
      </c>
      <c r="N38" s="19">
        <v>45716</v>
      </c>
      <c r="O38">
        <v>137.65</v>
      </c>
      <c r="P38">
        <v>141.24</v>
      </c>
      <c r="Q38">
        <v>133.55000000000001</v>
      </c>
      <c r="R38">
        <v>154585</v>
      </c>
      <c r="S38">
        <v>252649.45</v>
      </c>
      <c r="T38" t="s">
        <v>384</v>
      </c>
      <c r="U38">
        <v>53.161219359745168</v>
      </c>
    </row>
    <row r="39" spans="1:21" x14ac:dyDescent="0.25">
      <c r="A39" t="s">
        <v>214</v>
      </c>
      <c r="B39">
        <v>-27.722417965214781</v>
      </c>
      <c r="C39">
        <v>-3.2358085546191822</v>
      </c>
      <c r="D39" t="s">
        <v>383</v>
      </c>
      <c r="E39">
        <v>13</v>
      </c>
      <c r="F39" t="s">
        <v>383</v>
      </c>
      <c r="G39">
        <v>14</v>
      </c>
      <c r="H39">
        <v>121.71</v>
      </c>
      <c r="I39">
        <v>135.53739999999999</v>
      </c>
      <c r="J39">
        <v>134.0051</v>
      </c>
      <c r="K39">
        <v>140.4162</v>
      </c>
      <c r="L39" s="19">
        <v>45699</v>
      </c>
      <c r="M39" s="19">
        <v>45698</v>
      </c>
      <c r="N39" s="19">
        <v>45716</v>
      </c>
      <c r="O39">
        <v>124</v>
      </c>
      <c r="P39">
        <v>125.5</v>
      </c>
      <c r="Q39">
        <v>120.4</v>
      </c>
      <c r="R39">
        <v>3055368</v>
      </c>
      <c r="S39">
        <v>4227269.25</v>
      </c>
      <c r="T39" t="s">
        <v>384</v>
      </c>
      <c r="U39">
        <v>35.750718458533257</v>
      </c>
    </row>
    <row r="40" spans="1:21" x14ac:dyDescent="0.25">
      <c r="A40" t="s">
        <v>33</v>
      </c>
      <c r="B40">
        <v>50.541973761531558</v>
      </c>
      <c r="C40">
        <v>-3.8488291212613031</v>
      </c>
      <c r="D40" t="s">
        <v>383</v>
      </c>
      <c r="E40">
        <v>13</v>
      </c>
      <c r="F40" t="s">
        <v>383</v>
      </c>
      <c r="G40">
        <v>16</v>
      </c>
      <c r="H40">
        <v>3110.25</v>
      </c>
      <c r="I40">
        <v>3411.2604999999999</v>
      </c>
      <c r="J40">
        <v>3697.9344999999998</v>
      </c>
      <c r="K40">
        <v>3567.4</v>
      </c>
      <c r="L40" s="19">
        <v>45699</v>
      </c>
      <c r="M40" s="19">
        <v>45694</v>
      </c>
      <c r="N40" s="19">
        <v>45716</v>
      </c>
      <c r="O40">
        <v>3226.65</v>
      </c>
      <c r="P40">
        <v>3237.25</v>
      </c>
      <c r="Q40">
        <v>3072.9</v>
      </c>
      <c r="R40">
        <v>21263</v>
      </c>
      <c r="S40">
        <v>14124.3</v>
      </c>
      <c r="T40" t="s">
        <v>386</v>
      </c>
      <c r="U40">
        <v>28.046082759080932</v>
      </c>
    </row>
    <row r="41" spans="1:21" x14ac:dyDescent="0.25">
      <c r="A41" t="s">
        <v>185</v>
      </c>
      <c r="B41">
        <v>36.943112598763683</v>
      </c>
      <c r="C41">
        <v>-2.4923076923076879</v>
      </c>
      <c r="D41" t="s">
        <v>385</v>
      </c>
      <c r="E41">
        <v>14</v>
      </c>
      <c r="F41" t="s">
        <v>383</v>
      </c>
      <c r="G41">
        <v>1</v>
      </c>
      <c r="H41">
        <v>950.7</v>
      </c>
      <c r="I41">
        <v>942.79799999999989</v>
      </c>
      <c r="J41">
        <v>955.27199999999993</v>
      </c>
      <c r="K41">
        <v>933.7890000000001</v>
      </c>
      <c r="L41" s="19">
        <v>45698</v>
      </c>
      <c r="M41" s="19">
        <v>45716</v>
      </c>
      <c r="N41" s="19">
        <v>45716</v>
      </c>
      <c r="O41">
        <v>968.1</v>
      </c>
      <c r="P41">
        <v>968.6</v>
      </c>
      <c r="Q41">
        <v>940.55</v>
      </c>
      <c r="R41">
        <v>2553800</v>
      </c>
      <c r="S41">
        <v>1864861.95</v>
      </c>
      <c r="T41" t="s">
        <v>386</v>
      </c>
      <c r="U41">
        <v>47.816937481176502</v>
      </c>
    </row>
    <row r="42" spans="1:21" x14ac:dyDescent="0.25">
      <c r="A42" t="s">
        <v>309</v>
      </c>
      <c r="B42">
        <v>19.452187971430881</v>
      </c>
      <c r="C42">
        <v>-0.35032318547391311</v>
      </c>
      <c r="D42" t="s">
        <v>383</v>
      </c>
      <c r="E42">
        <v>14</v>
      </c>
      <c r="F42" t="s">
        <v>383</v>
      </c>
      <c r="G42">
        <v>2</v>
      </c>
      <c r="H42">
        <v>201.96</v>
      </c>
      <c r="I42">
        <v>210.54150000000001</v>
      </c>
      <c r="J42">
        <v>207.45830000000001</v>
      </c>
      <c r="K42">
        <v>214.7792</v>
      </c>
      <c r="L42" s="19">
        <v>45698</v>
      </c>
      <c r="M42" s="19">
        <v>45715</v>
      </c>
      <c r="N42" s="19">
        <v>45716</v>
      </c>
      <c r="O42">
        <v>203.7</v>
      </c>
      <c r="P42">
        <v>209.8</v>
      </c>
      <c r="Q42">
        <v>200.51</v>
      </c>
      <c r="R42">
        <v>695930</v>
      </c>
      <c r="S42">
        <v>582601.30000000005</v>
      </c>
      <c r="T42" t="s">
        <v>384</v>
      </c>
      <c r="U42">
        <v>42.318335962793739</v>
      </c>
    </row>
    <row r="43" spans="1:21" x14ac:dyDescent="0.25">
      <c r="A43" t="s">
        <v>42</v>
      </c>
      <c r="B43">
        <v>-19.73506897868705</v>
      </c>
      <c r="C43">
        <v>2.4995834027662061</v>
      </c>
      <c r="D43" t="s">
        <v>385</v>
      </c>
      <c r="E43">
        <v>15</v>
      </c>
      <c r="F43" t="s">
        <v>383</v>
      </c>
      <c r="G43">
        <v>10</v>
      </c>
      <c r="H43">
        <v>307.55</v>
      </c>
      <c r="I43">
        <v>321.56675000000001</v>
      </c>
      <c r="J43">
        <v>317.041</v>
      </c>
      <c r="K43">
        <v>298.41699999999997</v>
      </c>
      <c r="L43" s="19">
        <v>45695</v>
      </c>
      <c r="M43" s="19">
        <v>45702</v>
      </c>
      <c r="N43" s="19">
        <v>45716</v>
      </c>
      <c r="O43">
        <v>299</v>
      </c>
      <c r="P43">
        <v>312.5</v>
      </c>
      <c r="Q43">
        <v>299</v>
      </c>
      <c r="R43">
        <v>427569</v>
      </c>
      <c r="S43">
        <v>532697.15</v>
      </c>
      <c r="T43" t="s">
        <v>386</v>
      </c>
      <c r="U43">
        <v>52.94186426332935</v>
      </c>
    </row>
    <row r="44" spans="1:21" x14ac:dyDescent="0.25">
      <c r="A44" t="s">
        <v>334</v>
      </c>
      <c r="B44">
        <v>-11.33715583272854</v>
      </c>
      <c r="C44">
        <v>-2.1192052980132501</v>
      </c>
      <c r="D44" t="s">
        <v>383</v>
      </c>
      <c r="E44">
        <v>15</v>
      </c>
      <c r="F44" t="s">
        <v>383</v>
      </c>
      <c r="G44">
        <v>15</v>
      </c>
      <c r="H44">
        <v>221.7</v>
      </c>
      <c r="I44">
        <v>307.64870000000002</v>
      </c>
      <c r="J44">
        <v>354.39</v>
      </c>
      <c r="K44">
        <v>360.65100000000001</v>
      </c>
      <c r="L44" s="19">
        <v>45695</v>
      </c>
      <c r="M44" s="19">
        <v>45695</v>
      </c>
      <c r="N44" s="19">
        <v>45716</v>
      </c>
      <c r="O44">
        <v>226</v>
      </c>
      <c r="P44">
        <v>227.85</v>
      </c>
      <c r="Q44">
        <v>213.4</v>
      </c>
      <c r="R44">
        <v>1558170</v>
      </c>
      <c r="S44">
        <v>1757410.35</v>
      </c>
      <c r="T44" t="s">
        <v>386</v>
      </c>
      <c r="U44">
        <v>22.903825467681472</v>
      </c>
    </row>
    <row r="45" spans="1:21" x14ac:dyDescent="0.25">
      <c r="A45" t="s">
        <v>18</v>
      </c>
      <c r="B45">
        <v>-57.139875861186361</v>
      </c>
      <c r="C45">
        <v>-0.95238095238094622</v>
      </c>
      <c r="D45" t="s">
        <v>385</v>
      </c>
      <c r="E45">
        <v>15</v>
      </c>
      <c r="F45" t="s">
        <v>385</v>
      </c>
      <c r="G45">
        <v>16</v>
      </c>
      <c r="H45">
        <v>733.2</v>
      </c>
      <c r="I45">
        <v>635.79174999999998</v>
      </c>
      <c r="J45">
        <v>650.5</v>
      </c>
      <c r="K45">
        <v>674.27199999999993</v>
      </c>
      <c r="L45" s="19">
        <v>45695</v>
      </c>
      <c r="M45" s="19">
        <v>45694</v>
      </c>
      <c r="N45" s="19">
        <v>45716</v>
      </c>
      <c r="O45">
        <v>740</v>
      </c>
      <c r="P45">
        <v>751</v>
      </c>
      <c r="Q45">
        <v>715.9</v>
      </c>
      <c r="R45">
        <v>627941</v>
      </c>
      <c r="S45">
        <v>1465093.75</v>
      </c>
      <c r="T45" t="s">
        <v>386</v>
      </c>
      <c r="U45">
        <v>53.527251654153488</v>
      </c>
    </row>
    <row r="46" spans="1:21" x14ac:dyDescent="0.25">
      <c r="A46" t="s">
        <v>141</v>
      </c>
      <c r="B46">
        <v>-25.58036710218278</v>
      </c>
      <c r="C46">
        <v>-3.649849145155879</v>
      </c>
      <c r="D46" t="s">
        <v>385</v>
      </c>
      <c r="E46">
        <v>15</v>
      </c>
      <c r="F46" t="s">
        <v>385</v>
      </c>
      <c r="G46">
        <v>20</v>
      </c>
      <c r="H46">
        <v>1149.6500000000001</v>
      </c>
      <c r="I46">
        <v>1134.65075</v>
      </c>
      <c r="J46">
        <v>1090.2284999999999</v>
      </c>
      <c r="K46">
        <v>1092.8530000000001</v>
      </c>
      <c r="L46" s="19">
        <v>45695</v>
      </c>
      <c r="M46" s="19">
        <v>45689</v>
      </c>
      <c r="N46" s="19">
        <v>45716</v>
      </c>
      <c r="O46">
        <v>1185</v>
      </c>
      <c r="P46">
        <v>1189.5999999999999</v>
      </c>
      <c r="Q46">
        <v>1144</v>
      </c>
      <c r="R46">
        <v>332253</v>
      </c>
      <c r="S46">
        <v>446458.8</v>
      </c>
      <c r="T46" t="s">
        <v>386</v>
      </c>
      <c r="U46">
        <v>52.493727306539022</v>
      </c>
    </row>
    <row r="47" spans="1:21" x14ac:dyDescent="0.25">
      <c r="A47" t="s">
        <v>253</v>
      </c>
      <c r="B47">
        <v>81.017927308609131</v>
      </c>
      <c r="C47">
        <v>-2.4891774891774889</v>
      </c>
      <c r="D47" t="s">
        <v>383</v>
      </c>
      <c r="E47">
        <v>15</v>
      </c>
      <c r="F47" t="s">
        <v>383</v>
      </c>
      <c r="G47">
        <v>25</v>
      </c>
      <c r="H47">
        <v>225.25</v>
      </c>
      <c r="I47">
        <v>277.09665000000001</v>
      </c>
      <c r="J47">
        <v>255.86879999999999</v>
      </c>
      <c r="K47">
        <v>248.8356</v>
      </c>
      <c r="L47" s="19">
        <v>45695</v>
      </c>
      <c r="M47" s="19">
        <v>45684</v>
      </c>
      <c r="N47" s="19">
        <v>45716</v>
      </c>
      <c r="O47">
        <v>230</v>
      </c>
      <c r="P47">
        <v>230.5</v>
      </c>
      <c r="Q47">
        <v>223.15</v>
      </c>
      <c r="R47">
        <v>17237276</v>
      </c>
      <c r="S47">
        <v>9522413.75</v>
      </c>
      <c r="T47" t="s">
        <v>384</v>
      </c>
      <c r="U47">
        <v>33.25187287373781</v>
      </c>
    </row>
    <row r="48" spans="1:21" x14ac:dyDescent="0.25">
      <c r="A48" t="s">
        <v>285</v>
      </c>
      <c r="B48">
        <v>-30.094250828146389</v>
      </c>
      <c r="C48">
        <v>-3.2529290144727812</v>
      </c>
      <c r="D48" t="s">
        <v>385</v>
      </c>
      <c r="E48">
        <v>16</v>
      </c>
      <c r="F48" t="s">
        <v>385</v>
      </c>
      <c r="G48">
        <v>7</v>
      </c>
      <c r="H48">
        <v>350.95</v>
      </c>
      <c r="I48">
        <v>350.89125000000001</v>
      </c>
      <c r="J48">
        <v>343.4205</v>
      </c>
      <c r="K48">
        <v>354.33699999999999</v>
      </c>
      <c r="L48" s="19">
        <v>45694</v>
      </c>
      <c r="M48" s="19">
        <v>45707</v>
      </c>
      <c r="N48" s="19">
        <v>45716</v>
      </c>
      <c r="O48">
        <v>365.95</v>
      </c>
      <c r="P48">
        <v>365.95</v>
      </c>
      <c r="Q48">
        <v>347.65</v>
      </c>
      <c r="R48">
        <v>70632</v>
      </c>
      <c r="S48">
        <v>101038.9</v>
      </c>
      <c r="T48" t="s">
        <v>386</v>
      </c>
      <c r="U48">
        <v>46.970130734592338</v>
      </c>
    </row>
    <row r="49" spans="1:21" x14ac:dyDescent="0.25">
      <c r="A49" t="s">
        <v>87</v>
      </c>
      <c r="B49">
        <v>63.751670920808259</v>
      </c>
      <c r="C49">
        <v>-7.1422357546759381</v>
      </c>
      <c r="D49" t="s">
        <v>385</v>
      </c>
      <c r="E49">
        <v>16</v>
      </c>
      <c r="F49" t="s">
        <v>385</v>
      </c>
      <c r="G49">
        <v>21</v>
      </c>
      <c r="H49">
        <v>533.70000000000005</v>
      </c>
      <c r="I49">
        <v>494.57524999999998</v>
      </c>
      <c r="J49">
        <v>503.24149999999997</v>
      </c>
      <c r="K49">
        <v>510.16199999999998</v>
      </c>
      <c r="L49" s="19">
        <v>45694</v>
      </c>
      <c r="M49" s="19">
        <v>45688</v>
      </c>
      <c r="N49" s="19">
        <v>45716</v>
      </c>
      <c r="O49">
        <v>565.1</v>
      </c>
      <c r="P49">
        <v>568.35</v>
      </c>
      <c r="Q49">
        <v>528.5</v>
      </c>
      <c r="R49">
        <v>4746549</v>
      </c>
      <c r="S49">
        <v>2898626.3</v>
      </c>
      <c r="T49" t="s">
        <v>386</v>
      </c>
      <c r="U49">
        <v>50.912916569503317</v>
      </c>
    </row>
    <row r="50" spans="1:21" x14ac:dyDescent="0.25">
      <c r="A50" t="s">
        <v>120</v>
      </c>
      <c r="B50">
        <v>-38.878578810647753</v>
      </c>
      <c r="C50">
        <v>-1.8961154424839379</v>
      </c>
      <c r="D50" t="s">
        <v>383</v>
      </c>
      <c r="E50">
        <v>17</v>
      </c>
      <c r="F50" t="s">
        <v>383</v>
      </c>
      <c r="G50">
        <v>19</v>
      </c>
      <c r="H50">
        <v>2868.95</v>
      </c>
      <c r="I50">
        <v>3707.9672500000001</v>
      </c>
      <c r="J50">
        <v>3447.1190000000001</v>
      </c>
      <c r="K50">
        <v>3285.4360000000001</v>
      </c>
      <c r="L50" s="19">
        <v>45693</v>
      </c>
      <c r="M50" s="19">
        <v>45691</v>
      </c>
      <c r="N50" s="19">
        <v>45716</v>
      </c>
      <c r="O50">
        <v>2900</v>
      </c>
      <c r="P50">
        <v>2999.9</v>
      </c>
      <c r="Q50">
        <v>2825.2</v>
      </c>
      <c r="R50">
        <v>136763</v>
      </c>
      <c r="S50">
        <v>223756.25</v>
      </c>
      <c r="T50" t="s">
        <v>384</v>
      </c>
      <c r="U50">
        <v>30.116224835704092</v>
      </c>
    </row>
    <row r="51" spans="1:21" x14ac:dyDescent="0.25">
      <c r="A51" t="s">
        <v>89</v>
      </c>
      <c r="B51">
        <v>47.045205425071863</v>
      </c>
      <c r="C51">
        <v>-2.634414207764229</v>
      </c>
      <c r="D51" t="s">
        <v>385</v>
      </c>
      <c r="E51">
        <v>18</v>
      </c>
      <c r="F51" t="s">
        <v>385</v>
      </c>
      <c r="G51">
        <v>23</v>
      </c>
      <c r="H51">
        <v>1400.75</v>
      </c>
      <c r="I51">
        <v>1362.5150000000001</v>
      </c>
      <c r="J51">
        <v>1304.9925000000001</v>
      </c>
      <c r="K51">
        <v>1292.8579999999999</v>
      </c>
      <c r="L51" s="19">
        <v>45692</v>
      </c>
      <c r="M51" s="19">
        <v>45686</v>
      </c>
      <c r="N51" s="19">
        <v>45716</v>
      </c>
      <c r="O51">
        <v>1434.1</v>
      </c>
      <c r="P51">
        <v>1438.65</v>
      </c>
      <c r="Q51">
        <v>1395.3</v>
      </c>
      <c r="R51">
        <v>2802181</v>
      </c>
      <c r="S51">
        <v>1905659.55</v>
      </c>
      <c r="T51" t="s">
        <v>386</v>
      </c>
      <c r="U51">
        <v>57.555898744382588</v>
      </c>
    </row>
    <row r="52" spans="1:21" x14ac:dyDescent="0.25">
      <c r="A52" t="s">
        <v>304</v>
      </c>
      <c r="B52">
        <v>-46.882171850159502</v>
      </c>
      <c r="C52">
        <v>-2.5207350788746141</v>
      </c>
      <c r="D52" t="s">
        <v>383</v>
      </c>
      <c r="E52">
        <v>18</v>
      </c>
      <c r="F52" t="s">
        <v>383</v>
      </c>
      <c r="G52">
        <v>25</v>
      </c>
      <c r="H52">
        <v>599.4</v>
      </c>
      <c r="I52">
        <v>621.71</v>
      </c>
      <c r="J52">
        <v>756.79899999999998</v>
      </c>
      <c r="K52">
        <v>812.01799999999992</v>
      </c>
      <c r="L52" s="19">
        <v>45692</v>
      </c>
      <c r="M52" s="19">
        <v>45684</v>
      </c>
      <c r="N52" s="19">
        <v>45716</v>
      </c>
      <c r="O52">
        <v>608.79999999999995</v>
      </c>
      <c r="P52">
        <v>611.79999999999995</v>
      </c>
      <c r="Q52">
        <v>590.20000000000005</v>
      </c>
      <c r="R52">
        <v>51521</v>
      </c>
      <c r="S52">
        <v>96993.8</v>
      </c>
      <c r="T52" t="s">
        <v>386</v>
      </c>
      <c r="U52">
        <v>29.69796599207157</v>
      </c>
    </row>
    <row r="53" spans="1:21" x14ac:dyDescent="0.25">
      <c r="A53" t="s">
        <v>50</v>
      </c>
      <c r="B53">
        <v>54.126210952031833</v>
      </c>
      <c r="C53">
        <v>-6.0329311379241384</v>
      </c>
      <c r="D53" t="s">
        <v>383</v>
      </c>
      <c r="E53">
        <v>19</v>
      </c>
      <c r="F53" t="s">
        <v>383</v>
      </c>
      <c r="G53">
        <v>12</v>
      </c>
      <c r="H53">
        <v>1409.6</v>
      </c>
      <c r="I53">
        <v>1491.91425</v>
      </c>
      <c r="J53">
        <v>1706.0229999999999</v>
      </c>
      <c r="K53">
        <v>1718.77</v>
      </c>
      <c r="L53" s="19">
        <v>45691</v>
      </c>
      <c r="M53" s="19">
        <v>45700</v>
      </c>
      <c r="N53" s="19">
        <v>45716</v>
      </c>
      <c r="O53">
        <v>1477.6</v>
      </c>
      <c r="P53">
        <v>1479.95</v>
      </c>
      <c r="Q53">
        <v>1325.5</v>
      </c>
      <c r="R53">
        <v>141691</v>
      </c>
      <c r="S53">
        <v>91931.8</v>
      </c>
      <c r="U53">
        <v>28.946678126560329</v>
      </c>
    </row>
    <row r="54" spans="1:21" x14ac:dyDescent="0.25">
      <c r="A54" t="s">
        <v>72</v>
      </c>
      <c r="B54">
        <v>2.5852478015214588</v>
      </c>
      <c r="C54">
        <v>-2.976105308341674</v>
      </c>
      <c r="D54" t="s">
        <v>383</v>
      </c>
      <c r="E54">
        <v>20</v>
      </c>
      <c r="F54" t="s">
        <v>383</v>
      </c>
      <c r="G54">
        <v>28</v>
      </c>
      <c r="H54">
        <v>339.05</v>
      </c>
      <c r="I54">
        <v>395.19600000000003</v>
      </c>
      <c r="J54">
        <v>420.44049999999987</v>
      </c>
      <c r="K54">
        <v>436.31200000000001</v>
      </c>
      <c r="L54" s="19">
        <v>45689</v>
      </c>
      <c r="M54" s="19">
        <v>45679</v>
      </c>
      <c r="N54" s="19">
        <v>45716</v>
      </c>
      <c r="O54">
        <v>344</v>
      </c>
      <c r="P54">
        <v>345.75</v>
      </c>
      <c r="Q54">
        <v>335.55</v>
      </c>
      <c r="R54">
        <v>3167505</v>
      </c>
      <c r="S54">
        <v>3087680.8</v>
      </c>
      <c r="T54" t="s">
        <v>386</v>
      </c>
      <c r="U54">
        <v>26.109776812519812</v>
      </c>
    </row>
    <row r="55" spans="1:21" x14ac:dyDescent="0.25">
      <c r="A55" t="s">
        <v>299</v>
      </c>
      <c r="B55">
        <v>117.10263420195091</v>
      </c>
      <c r="C55">
        <v>-3.6119040217053442</v>
      </c>
      <c r="D55" t="s">
        <v>385</v>
      </c>
      <c r="E55">
        <v>21</v>
      </c>
      <c r="F55" t="s">
        <v>383</v>
      </c>
      <c r="G55">
        <v>1</v>
      </c>
      <c r="H55">
        <v>27284</v>
      </c>
      <c r="I55">
        <v>26200.961749999999</v>
      </c>
      <c r="J55">
        <v>26150.955000000002</v>
      </c>
      <c r="K55">
        <v>26823.435000000001</v>
      </c>
      <c r="L55" s="19">
        <v>45688</v>
      </c>
      <c r="M55" s="19">
        <v>45716</v>
      </c>
      <c r="N55" s="19">
        <v>45716</v>
      </c>
      <c r="O55">
        <v>28108.35</v>
      </c>
      <c r="P55">
        <v>28172</v>
      </c>
      <c r="Q55">
        <v>27002.2</v>
      </c>
      <c r="R55">
        <v>71987</v>
      </c>
      <c r="S55">
        <v>33158.050000000003</v>
      </c>
      <c r="T55" t="s">
        <v>386</v>
      </c>
      <c r="U55">
        <v>44.943574596620877</v>
      </c>
    </row>
    <row r="56" spans="1:21" x14ac:dyDescent="0.25">
      <c r="A56" t="s">
        <v>353</v>
      </c>
      <c r="B56">
        <v>-8.9833270797957478</v>
      </c>
      <c r="C56">
        <v>-3.2242365251247112</v>
      </c>
      <c r="D56" t="s">
        <v>385</v>
      </c>
      <c r="E56">
        <v>21</v>
      </c>
      <c r="F56" t="s">
        <v>383</v>
      </c>
      <c r="G56">
        <v>3</v>
      </c>
      <c r="H56">
        <v>397.7</v>
      </c>
      <c r="I56">
        <v>416.94900000000001</v>
      </c>
      <c r="J56">
        <v>429.41449999999998</v>
      </c>
      <c r="K56">
        <v>416.57100000000003</v>
      </c>
      <c r="L56" s="19">
        <v>45688</v>
      </c>
      <c r="M56" s="19">
        <v>45713</v>
      </c>
      <c r="N56" s="19">
        <v>45716</v>
      </c>
      <c r="O56">
        <v>405</v>
      </c>
      <c r="P56">
        <v>409.75</v>
      </c>
      <c r="Q56">
        <v>391.4</v>
      </c>
      <c r="R56">
        <v>173319</v>
      </c>
      <c r="S56">
        <v>190425.55</v>
      </c>
      <c r="T56" t="s">
        <v>386</v>
      </c>
      <c r="U56">
        <v>37.733896336198107</v>
      </c>
    </row>
    <row r="57" spans="1:21" x14ac:dyDescent="0.25">
      <c r="A57" t="s">
        <v>128</v>
      </c>
      <c r="B57">
        <v>-21.193257222369901</v>
      </c>
      <c r="C57">
        <v>-3.0133146461107221</v>
      </c>
      <c r="D57" t="s">
        <v>383</v>
      </c>
      <c r="E57">
        <v>23</v>
      </c>
      <c r="F57" t="s">
        <v>383</v>
      </c>
      <c r="G57">
        <v>1</v>
      </c>
      <c r="H57">
        <v>346</v>
      </c>
      <c r="I57">
        <v>309.52095000000003</v>
      </c>
      <c r="J57">
        <v>358.09899999999999</v>
      </c>
      <c r="K57">
        <v>363.185</v>
      </c>
      <c r="L57" s="19">
        <v>45686</v>
      </c>
      <c r="M57" s="19">
        <v>45716</v>
      </c>
      <c r="N57" s="19">
        <v>45716</v>
      </c>
      <c r="O57">
        <v>353</v>
      </c>
      <c r="P57">
        <v>355.4</v>
      </c>
      <c r="Q57">
        <v>340</v>
      </c>
      <c r="R57">
        <v>2773439</v>
      </c>
      <c r="S57">
        <v>3519291.5</v>
      </c>
      <c r="T57" t="s">
        <v>386</v>
      </c>
      <c r="U57">
        <v>44.764441482218807</v>
      </c>
    </row>
    <row r="58" spans="1:21" x14ac:dyDescent="0.25">
      <c r="A58" t="s">
        <v>245</v>
      </c>
      <c r="B58">
        <v>-12.86372426386804</v>
      </c>
      <c r="C58">
        <v>-3.306474020561267</v>
      </c>
      <c r="D58" t="s">
        <v>383</v>
      </c>
      <c r="E58">
        <v>23</v>
      </c>
      <c r="F58" t="s">
        <v>383</v>
      </c>
      <c r="G58">
        <v>13</v>
      </c>
      <c r="H58">
        <v>870</v>
      </c>
      <c r="I58">
        <v>950.8732500000001</v>
      </c>
      <c r="J58">
        <v>978.44599999999991</v>
      </c>
      <c r="K58">
        <v>964.12899999999991</v>
      </c>
      <c r="L58" s="19">
        <v>45686</v>
      </c>
      <c r="M58" s="19">
        <v>45699</v>
      </c>
      <c r="N58" s="19">
        <v>45716</v>
      </c>
      <c r="O58">
        <v>890</v>
      </c>
      <c r="P58">
        <v>894.1</v>
      </c>
      <c r="Q58">
        <v>865.05</v>
      </c>
      <c r="R58">
        <v>59456</v>
      </c>
      <c r="S58">
        <v>68233.350000000006</v>
      </c>
      <c r="T58" t="s">
        <v>386</v>
      </c>
      <c r="U58">
        <v>31.541744220174909</v>
      </c>
    </row>
    <row r="59" spans="1:21" x14ac:dyDescent="0.25">
      <c r="A59" t="s">
        <v>225</v>
      </c>
      <c r="B59">
        <v>65.744514505391834</v>
      </c>
      <c r="C59">
        <v>-3.4296913277805001</v>
      </c>
      <c r="D59" t="s">
        <v>383</v>
      </c>
      <c r="E59">
        <v>23</v>
      </c>
      <c r="F59" t="s">
        <v>383</v>
      </c>
      <c r="G59">
        <v>27</v>
      </c>
      <c r="H59">
        <v>394.2</v>
      </c>
      <c r="I59">
        <v>575.09249999999997</v>
      </c>
      <c r="J59">
        <v>582.03449999999998</v>
      </c>
      <c r="K59">
        <v>566.12300000000005</v>
      </c>
      <c r="L59" s="19">
        <v>45686</v>
      </c>
      <c r="M59" s="19">
        <v>45680</v>
      </c>
      <c r="N59" s="19">
        <v>45716</v>
      </c>
      <c r="O59">
        <v>401</v>
      </c>
      <c r="P59">
        <v>415.45</v>
      </c>
      <c r="Q59">
        <v>380.6</v>
      </c>
      <c r="R59">
        <v>71655</v>
      </c>
      <c r="S59">
        <v>43232.2</v>
      </c>
      <c r="T59" t="s">
        <v>386</v>
      </c>
      <c r="U59">
        <v>22.437259672060659</v>
      </c>
    </row>
    <row r="60" spans="1:21" x14ac:dyDescent="0.25">
      <c r="A60" t="s">
        <v>169</v>
      </c>
      <c r="B60">
        <v>-5.8252020432708242</v>
      </c>
      <c r="C60">
        <v>-0.38480038480039941</v>
      </c>
      <c r="D60" t="s">
        <v>383</v>
      </c>
      <c r="E60">
        <v>23</v>
      </c>
      <c r="F60" t="s">
        <v>383</v>
      </c>
      <c r="G60">
        <v>30</v>
      </c>
      <c r="H60">
        <v>621.29999999999995</v>
      </c>
      <c r="I60">
        <v>744.49975000000006</v>
      </c>
      <c r="J60">
        <v>782.02050000000008</v>
      </c>
      <c r="K60">
        <v>778.17499999999995</v>
      </c>
      <c r="L60" s="19">
        <v>45686</v>
      </c>
      <c r="M60" s="19">
        <v>45677</v>
      </c>
      <c r="N60" s="19">
        <v>45716</v>
      </c>
      <c r="O60">
        <v>618.1</v>
      </c>
      <c r="P60">
        <v>624.20000000000005</v>
      </c>
      <c r="Q60">
        <v>600</v>
      </c>
      <c r="R60">
        <v>92162</v>
      </c>
      <c r="S60">
        <v>97862.7</v>
      </c>
      <c r="T60" t="s">
        <v>384</v>
      </c>
      <c r="U60">
        <v>31.6052908466216</v>
      </c>
    </row>
    <row r="61" spans="1:21" x14ac:dyDescent="0.25">
      <c r="A61" t="s">
        <v>261</v>
      </c>
      <c r="B61">
        <v>91.557446665791716</v>
      </c>
      <c r="C61">
        <v>-6.2904950619699579E-3</v>
      </c>
      <c r="D61" t="s">
        <v>383</v>
      </c>
      <c r="E61">
        <v>24</v>
      </c>
      <c r="F61" t="s">
        <v>383</v>
      </c>
      <c r="G61">
        <v>1</v>
      </c>
      <c r="H61">
        <v>794.8</v>
      </c>
      <c r="I61">
        <v>603.37860000000001</v>
      </c>
      <c r="J61">
        <v>774.45749999999998</v>
      </c>
      <c r="K61">
        <v>850.83799999999985</v>
      </c>
      <c r="L61" s="19">
        <v>45685</v>
      </c>
      <c r="M61" s="19">
        <v>45716</v>
      </c>
      <c r="N61" s="19">
        <v>45716</v>
      </c>
      <c r="O61">
        <v>773.35</v>
      </c>
      <c r="P61">
        <v>809.85</v>
      </c>
      <c r="Q61">
        <v>741.1</v>
      </c>
      <c r="R61">
        <v>2992822</v>
      </c>
      <c r="S61">
        <v>1562362.65</v>
      </c>
      <c r="T61" t="s">
        <v>386</v>
      </c>
      <c r="U61">
        <v>47.850309815141379</v>
      </c>
    </row>
    <row r="62" spans="1:21" x14ac:dyDescent="0.25">
      <c r="A62" t="s">
        <v>146</v>
      </c>
      <c r="B62">
        <v>334.41216540192698</v>
      </c>
      <c r="C62">
        <v>-8.9062037676299397</v>
      </c>
      <c r="D62" t="s">
        <v>383</v>
      </c>
      <c r="E62">
        <v>24</v>
      </c>
      <c r="F62" t="s">
        <v>383</v>
      </c>
      <c r="G62">
        <v>13</v>
      </c>
      <c r="H62">
        <v>461.8</v>
      </c>
      <c r="I62">
        <v>561.16849999999999</v>
      </c>
      <c r="J62">
        <v>569.19749999999999</v>
      </c>
      <c r="K62">
        <v>565.84800000000007</v>
      </c>
      <c r="L62" s="19">
        <v>45685</v>
      </c>
      <c r="M62" s="19">
        <v>45699</v>
      </c>
      <c r="N62" s="19">
        <v>45716</v>
      </c>
      <c r="O62">
        <v>489.45</v>
      </c>
      <c r="P62">
        <v>494.75</v>
      </c>
      <c r="Q62">
        <v>456.25</v>
      </c>
      <c r="R62">
        <v>4892837</v>
      </c>
      <c r="S62">
        <v>1126312.1499999999</v>
      </c>
      <c r="T62" t="s">
        <v>384</v>
      </c>
      <c r="U62">
        <v>28.116077781233141</v>
      </c>
    </row>
    <row r="63" spans="1:21" x14ac:dyDescent="0.25">
      <c r="A63" t="s">
        <v>313</v>
      </c>
      <c r="B63">
        <v>15.79920815245095</v>
      </c>
      <c r="C63">
        <v>1.3889702865850111</v>
      </c>
      <c r="D63" t="s">
        <v>383</v>
      </c>
      <c r="E63">
        <v>24</v>
      </c>
      <c r="F63" t="s">
        <v>383</v>
      </c>
      <c r="G63">
        <v>27</v>
      </c>
      <c r="H63">
        <v>865</v>
      </c>
      <c r="I63">
        <v>982.69950000000017</v>
      </c>
      <c r="J63">
        <v>1036.9224999999999</v>
      </c>
      <c r="K63">
        <v>1034.0719999999999</v>
      </c>
      <c r="L63" s="19">
        <v>45685</v>
      </c>
      <c r="M63" s="19">
        <v>45680</v>
      </c>
      <c r="N63" s="19">
        <v>45716</v>
      </c>
      <c r="O63">
        <v>841</v>
      </c>
      <c r="P63">
        <v>894</v>
      </c>
      <c r="Q63">
        <v>810.05</v>
      </c>
      <c r="R63">
        <v>192524</v>
      </c>
      <c r="S63">
        <v>166256.75</v>
      </c>
      <c r="T63" t="s">
        <v>386</v>
      </c>
      <c r="U63">
        <v>34.811241017998263</v>
      </c>
    </row>
    <row r="64" spans="1:21" x14ac:dyDescent="0.25">
      <c r="A64" t="s">
        <v>191</v>
      </c>
      <c r="B64">
        <v>75.585505169577345</v>
      </c>
      <c r="C64">
        <v>-1.344503749746629</v>
      </c>
      <c r="D64" t="s">
        <v>383</v>
      </c>
      <c r="E64">
        <v>24</v>
      </c>
      <c r="F64" t="s">
        <v>383</v>
      </c>
      <c r="G64">
        <v>39</v>
      </c>
      <c r="H64">
        <v>730.1</v>
      </c>
      <c r="I64">
        <v>878.11225000000002</v>
      </c>
      <c r="J64">
        <v>900.19550000000004</v>
      </c>
      <c r="K64">
        <v>935.63</v>
      </c>
      <c r="L64" s="19">
        <v>45685</v>
      </c>
      <c r="M64" s="19">
        <v>45664</v>
      </c>
      <c r="N64" s="19">
        <v>45716</v>
      </c>
      <c r="O64">
        <v>740.05</v>
      </c>
      <c r="P64">
        <v>744.05</v>
      </c>
      <c r="Q64">
        <v>706.05</v>
      </c>
      <c r="R64">
        <v>153531</v>
      </c>
      <c r="S64">
        <v>87439.45</v>
      </c>
      <c r="T64" t="s">
        <v>384</v>
      </c>
      <c r="U64">
        <v>31.409983827960328</v>
      </c>
    </row>
    <row r="65" spans="1:21" x14ac:dyDescent="0.25">
      <c r="A65" t="s">
        <v>234</v>
      </c>
      <c r="B65">
        <v>9.5589453830917233</v>
      </c>
      <c r="C65">
        <v>-3.067937288656621</v>
      </c>
      <c r="D65" t="s">
        <v>385</v>
      </c>
      <c r="E65">
        <v>25</v>
      </c>
      <c r="F65" t="s">
        <v>383</v>
      </c>
      <c r="G65">
        <v>3</v>
      </c>
      <c r="H65">
        <v>2364.9</v>
      </c>
      <c r="I65">
        <v>2139.8092499999998</v>
      </c>
      <c r="J65">
        <v>2219.1895</v>
      </c>
      <c r="K65">
        <v>2330.6379999999999</v>
      </c>
      <c r="L65" s="19">
        <v>45684</v>
      </c>
      <c r="M65" s="19">
        <v>45713</v>
      </c>
      <c r="N65" s="19">
        <v>45716</v>
      </c>
      <c r="O65">
        <v>2420</v>
      </c>
      <c r="P65">
        <v>2500.1999999999998</v>
      </c>
      <c r="Q65">
        <v>2303.35</v>
      </c>
      <c r="R65">
        <v>34708</v>
      </c>
      <c r="S65">
        <v>31679.75</v>
      </c>
      <c r="T65" t="s">
        <v>386</v>
      </c>
      <c r="U65">
        <v>39.667610035180701</v>
      </c>
    </row>
    <row r="66" spans="1:21" x14ac:dyDescent="0.25">
      <c r="A66" t="s">
        <v>218</v>
      </c>
      <c r="B66">
        <v>21.938809254741169</v>
      </c>
      <c r="C66">
        <v>0.71917717670078196</v>
      </c>
      <c r="D66" t="s">
        <v>383</v>
      </c>
      <c r="E66">
        <v>25</v>
      </c>
      <c r="F66" t="s">
        <v>383</v>
      </c>
      <c r="G66">
        <v>12</v>
      </c>
      <c r="H66">
        <v>1904.65</v>
      </c>
      <c r="I66">
        <v>2015.6424999999999</v>
      </c>
      <c r="J66">
        <v>2124.3355000000001</v>
      </c>
      <c r="K66">
        <v>2125.6570000000002</v>
      </c>
      <c r="L66" s="19">
        <v>45684</v>
      </c>
      <c r="M66" s="19">
        <v>45700</v>
      </c>
      <c r="N66" s="19">
        <v>45716</v>
      </c>
      <c r="O66">
        <v>1920</v>
      </c>
      <c r="P66">
        <v>1925</v>
      </c>
      <c r="Q66">
        <v>1859.5</v>
      </c>
      <c r="R66">
        <v>1321909</v>
      </c>
      <c r="S66">
        <v>1084075.7</v>
      </c>
      <c r="T66" t="s">
        <v>386</v>
      </c>
      <c r="U66">
        <v>34.700693593290737</v>
      </c>
    </row>
    <row r="67" spans="1:21" x14ac:dyDescent="0.25">
      <c r="A67" t="s">
        <v>350</v>
      </c>
      <c r="B67">
        <v>40.75193626076269</v>
      </c>
      <c r="C67">
        <v>-5.4709677419354836</v>
      </c>
      <c r="D67" t="s">
        <v>383</v>
      </c>
      <c r="E67">
        <v>25</v>
      </c>
      <c r="F67" t="s">
        <v>383</v>
      </c>
      <c r="G67">
        <v>12</v>
      </c>
      <c r="H67">
        <v>915.75</v>
      </c>
      <c r="I67">
        <v>945.02925000000005</v>
      </c>
      <c r="J67">
        <v>1052.8440000000001</v>
      </c>
      <c r="K67">
        <v>1053.8879999999999</v>
      </c>
      <c r="L67" s="19">
        <v>45684</v>
      </c>
      <c r="M67" s="19">
        <v>45700</v>
      </c>
      <c r="N67" s="19">
        <v>45716</v>
      </c>
      <c r="O67">
        <v>963.95</v>
      </c>
      <c r="P67">
        <v>979.05</v>
      </c>
      <c r="Q67">
        <v>900.1</v>
      </c>
      <c r="R67">
        <v>1590379</v>
      </c>
      <c r="S67">
        <v>1129916.25</v>
      </c>
      <c r="T67" t="s">
        <v>386</v>
      </c>
      <c r="U67">
        <v>42.424334465868043</v>
      </c>
    </row>
    <row r="68" spans="1:21" x14ac:dyDescent="0.25">
      <c r="A68" t="s">
        <v>79</v>
      </c>
      <c r="B68">
        <v>-11.59330865213218</v>
      </c>
      <c r="C68">
        <v>-5.1867651649152036</v>
      </c>
      <c r="D68" t="s">
        <v>383</v>
      </c>
      <c r="E68">
        <v>25</v>
      </c>
      <c r="F68" t="s">
        <v>383</v>
      </c>
      <c r="G68">
        <v>13</v>
      </c>
      <c r="H68">
        <v>1822.5</v>
      </c>
      <c r="I68">
        <v>1878.62625</v>
      </c>
      <c r="J68">
        <v>2141.654</v>
      </c>
      <c r="K68">
        <v>2201.357</v>
      </c>
      <c r="L68" s="19">
        <v>45684</v>
      </c>
      <c r="M68" s="19">
        <v>45699</v>
      </c>
      <c r="N68" s="19">
        <v>45716</v>
      </c>
      <c r="O68">
        <v>1915.1</v>
      </c>
      <c r="P68">
        <v>1915.1</v>
      </c>
      <c r="Q68">
        <v>1806.05</v>
      </c>
      <c r="R68">
        <v>121213</v>
      </c>
      <c r="S68">
        <v>137108.4</v>
      </c>
      <c r="T68" t="s">
        <v>386</v>
      </c>
      <c r="U68">
        <v>34.300870232872541</v>
      </c>
    </row>
    <row r="69" spans="1:21" x14ac:dyDescent="0.25">
      <c r="A69" t="s">
        <v>114</v>
      </c>
      <c r="B69">
        <v>-19.182449134723768</v>
      </c>
      <c r="C69">
        <v>-3.140169902912628</v>
      </c>
      <c r="D69" t="s">
        <v>383</v>
      </c>
      <c r="E69">
        <v>25</v>
      </c>
      <c r="F69" t="s">
        <v>383</v>
      </c>
      <c r="G69">
        <v>13</v>
      </c>
      <c r="H69">
        <v>319.25</v>
      </c>
      <c r="I69">
        <v>396.56950000000012</v>
      </c>
      <c r="J69">
        <v>382.54599999999999</v>
      </c>
      <c r="K69">
        <v>378.23599999999999</v>
      </c>
      <c r="L69" s="19">
        <v>45684</v>
      </c>
      <c r="M69" s="19">
        <v>45699</v>
      </c>
      <c r="N69" s="19">
        <v>45716</v>
      </c>
      <c r="O69">
        <v>324.10000000000002</v>
      </c>
      <c r="P69">
        <v>330.4</v>
      </c>
      <c r="Q69">
        <v>314.35000000000002</v>
      </c>
      <c r="R69">
        <v>621431</v>
      </c>
      <c r="S69">
        <v>768930.75</v>
      </c>
      <c r="T69" t="s">
        <v>384</v>
      </c>
      <c r="U69">
        <v>34.910339244988677</v>
      </c>
    </row>
    <row r="70" spans="1:21" x14ac:dyDescent="0.25">
      <c r="A70" t="s">
        <v>217</v>
      </c>
      <c r="B70">
        <v>-5.9237195970891428</v>
      </c>
      <c r="C70">
        <v>-7.6561807709348768</v>
      </c>
      <c r="D70" t="s">
        <v>383</v>
      </c>
      <c r="E70">
        <v>25</v>
      </c>
      <c r="F70" t="s">
        <v>383</v>
      </c>
      <c r="G70">
        <v>13</v>
      </c>
      <c r="H70">
        <v>521.04999999999995</v>
      </c>
      <c r="I70">
        <v>688.01100000000008</v>
      </c>
      <c r="J70">
        <v>719.33550000000002</v>
      </c>
      <c r="K70">
        <v>720.12</v>
      </c>
      <c r="L70" s="19">
        <v>45684</v>
      </c>
      <c r="M70" s="19">
        <v>45699</v>
      </c>
      <c r="N70" s="19">
        <v>45716</v>
      </c>
      <c r="O70">
        <v>565</v>
      </c>
      <c r="P70">
        <v>565</v>
      </c>
      <c r="Q70">
        <v>516</v>
      </c>
      <c r="R70">
        <v>118553</v>
      </c>
      <c r="S70">
        <v>126017.95</v>
      </c>
      <c r="T70" t="s">
        <v>384</v>
      </c>
      <c r="U70">
        <v>24.870215623198231</v>
      </c>
    </row>
    <row r="71" spans="1:21" x14ac:dyDescent="0.25">
      <c r="A71" t="s">
        <v>168</v>
      </c>
      <c r="B71">
        <v>182.09446999583011</v>
      </c>
      <c r="C71">
        <v>-1.138952164009112</v>
      </c>
      <c r="D71" t="s">
        <v>383</v>
      </c>
      <c r="E71">
        <v>25</v>
      </c>
      <c r="F71" t="s">
        <v>383</v>
      </c>
      <c r="G71">
        <v>14</v>
      </c>
      <c r="H71">
        <v>716.1</v>
      </c>
      <c r="I71">
        <v>700.15299999999991</v>
      </c>
      <c r="J71">
        <v>771.99549999999999</v>
      </c>
      <c r="K71">
        <v>793.6110000000001</v>
      </c>
      <c r="L71" s="19">
        <v>45684</v>
      </c>
      <c r="M71" s="19">
        <v>45698</v>
      </c>
      <c r="N71" s="19">
        <v>45716</v>
      </c>
      <c r="O71">
        <v>718</v>
      </c>
      <c r="P71">
        <v>726.8</v>
      </c>
      <c r="Q71">
        <v>703.2</v>
      </c>
      <c r="R71">
        <v>8666007</v>
      </c>
      <c r="S71">
        <v>3072023</v>
      </c>
      <c r="T71" t="s">
        <v>386</v>
      </c>
      <c r="U71">
        <v>37.974572431019403</v>
      </c>
    </row>
    <row r="72" spans="1:21" x14ac:dyDescent="0.25">
      <c r="A72" t="s">
        <v>289</v>
      </c>
      <c r="B72">
        <v>31.91150230263084</v>
      </c>
      <c r="C72">
        <v>-1.639344262295072</v>
      </c>
      <c r="D72" t="s">
        <v>383</v>
      </c>
      <c r="E72">
        <v>25</v>
      </c>
      <c r="F72" t="s">
        <v>383</v>
      </c>
      <c r="G72">
        <v>25</v>
      </c>
      <c r="H72">
        <v>110.4</v>
      </c>
      <c r="I72">
        <v>155.99299999999999</v>
      </c>
      <c r="J72">
        <v>147.113</v>
      </c>
      <c r="K72">
        <v>142.79060000000001</v>
      </c>
      <c r="L72" s="19">
        <v>45684</v>
      </c>
      <c r="M72" s="19">
        <v>45684</v>
      </c>
      <c r="N72" s="19">
        <v>45716</v>
      </c>
      <c r="O72">
        <v>111</v>
      </c>
      <c r="P72">
        <v>111.93</v>
      </c>
      <c r="Q72">
        <v>105.61</v>
      </c>
      <c r="R72">
        <v>10745880</v>
      </c>
      <c r="S72">
        <v>8146279.75</v>
      </c>
      <c r="T72" t="s">
        <v>384</v>
      </c>
      <c r="U72">
        <v>26.25145432484932</v>
      </c>
    </row>
    <row r="73" spans="1:21" x14ac:dyDescent="0.25">
      <c r="A73" t="s">
        <v>109</v>
      </c>
      <c r="B73">
        <v>54.67946694928888</v>
      </c>
      <c r="C73">
        <v>-0.8040513526720231</v>
      </c>
      <c r="D73" t="s">
        <v>383</v>
      </c>
      <c r="E73">
        <v>25</v>
      </c>
      <c r="F73" t="s">
        <v>383</v>
      </c>
      <c r="G73">
        <v>34</v>
      </c>
      <c r="H73">
        <v>1116.5</v>
      </c>
      <c r="I73">
        <v>1283.8025</v>
      </c>
      <c r="J73">
        <v>1266.5962</v>
      </c>
      <c r="K73">
        <v>1265.1210000000001</v>
      </c>
      <c r="L73" s="19">
        <v>45684</v>
      </c>
      <c r="M73" s="19">
        <v>45671</v>
      </c>
      <c r="N73" s="19">
        <v>45716</v>
      </c>
      <c r="O73">
        <v>1128.7</v>
      </c>
      <c r="P73">
        <v>1132</v>
      </c>
      <c r="Q73">
        <v>1104.55</v>
      </c>
      <c r="R73">
        <v>3895033</v>
      </c>
      <c r="S73">
        <v>2518131.9</v>
      </c>
      <c r="T73" t="s">
        <v>384</v>
      </c>
      <c r="U73">
        <v>26.558101598937309</v>
      </c>
    </row>
    <row r="74" spans="1:21" x14ac:dyDescent="0.25">
      <c r="A74" t="s">
        <v>223</v>
      </c>
      <c r="B74">
        <v>67.646949432174239</v>
      </c>
      <c r="C74">
        <v>-4.0345073620029837</v>
      </c>
      <c r="D74" t="s">
        <v>383</v>
      </c>
      <c r="E74">
        <v>25</v>
      </c>
      <c r="F74" t="s">
        <v>383</v>
      </c>
      <c r="G74">
        <v>36</v>
      </c>
      <c r="H74">
        <v>147.94999999999999</v>
      </c>
      <c r="I74">
        <v>199.96975</v>
      </c>
      <c r="J74">
        <v>205.15020000000001</v>
      </c>
      <c r="K74">
        <v>207.8674</v>
      </c>
      <c r="L74" s="19">
        <v>45684</v>
      </c>
      <c r="M74" s="19">
        <v>45667</v>
      </c>
      <c r="N74" s="19">
        <v>45716</v>
      </c>
      <c r="O74">
        <v>152</v>
      </c>
      <c r="P74">
        <v>153.9</v>
      </c>
      <c r="Q74">
        <v>145.99</v>
      </c>
      <c r="R74">
        <v>1194482</v>
      </c>
      <c r="S74">
        <v>712498.5</v>
      </c>
      <c r="T74" t="s">
        <v>384</v>
      </c>
      <c r="U74">
        <v>21.928761055889911</v>
      </c>
    </row>
    <row r="75" spans="1:21" x14ac:dyDescent="0.25">
      <c r="A75" t="s">
        <v>312</v>
      </c>
      <c r="B75">
        <v>116.4756665625068</v>
      </c>
      <c r="C75">
        <v>-2.521483965625658</v>
      </c>
      <c r="D75" t="s">
        <v>383</v>
      </c>
      <c r="E75">
        <v>25</v>
      </c>
      <c r="F75" t="s">
        <v>383</v>
      </c>
      <c r="G75">
        <v>36</v>
      </c>
      <c r="H75">
        <v>2325.35</v>
      </c>
      <c r="I75">
        <v>2486.8314999999998</v>
      </c>
      <c r="J75">
        <v>2633.8240000000001</v>
      </c>
      <c r="K75">
        <v>2684.701</v>
      </c>
      <c r="L75" s="19">
        <v>45684</v>
      </c>
      <c r="M75" s="19">
        <v>45667</v>
      </c>
      <c r="N75" s="19">
        <v>45716</v>
      </c>
      <c r="O75">
        <v>2355</v>
      </c>
      <c r="P75">
        <v>2355.5500000000002</v>
      </c>
      <c r="Q75">
        <v>2261</v>
      </c>
      <c r="R75">
        <v>59578</v>
      </c>
      <c r="S75">
        <v>27521.8</v>
      </c>
      <c r="T75" t="s">
        <v>386</v>
      </c>
      <c r="U75">
        <v>32.637626121143512</v>
      </c>
    </row>
    <row r="76" spans="1:21" x14ac:dyDescent="0.25">
      <c r="A76" t="s">
        <v>359</v>
      </c>
      <c r="B76">
        <v>20.016454698159141</v>
      </c>
      <c r="C76">
        <v>-1.6395759717314571</v>
      </c>
      <c r="D76" t="s">
        <v>383</v>
      </c>
      <c r="E76">
        <v>25</v>
      </c>
      <c r="F76" t="s">
        <v>383</v>
      </c>
      <c r="G76">
        <v>45</v>
      </c>
      <c r="H76">
        <v>1043.8499999999999</v>
      </c>
      <c r="I76">
        <v>1177.883</v>
      </c>
      <c r="J76">
        <v>1290.703</v>
      </c>
      <c r="K76">
        <v>1320.8209999999999</v>
      </c>
      <c r="L76" s="19">
        <v>45684</v>
      </c>
      <c r="M76" s="19">
        <v>45656</v>
      </c>
      <c r="N76" s="19">
        <v>45716</v>
      </c>
      <c r="O76">
        <v>1061.25</v>
      </c>
      <c r="P76">
        <v>1081.75</v>
      </c>
      <c r="Q76">
        <v>1020.1</v>
      </c>
      <c r="R76">
        <v>42012</v>
      </c>
      <c r="S76">
        <v>35005.199999999997</v>
      </c>
      <c r="T76" t="s">
        <v>386</v>
      </c>
      <c r="U76">
        <v>32.836983987845663</v>
      </c>
    </row>
    <row r="77" spans="1:21" x14ac:dyDescent="0.25">
      <c r="A77" t="s">
        <v>232</v>
      </c>
      <c r="B77">
        <v>18.675568382928791</v>
      </c>
      <c r="C77">
        <v>-4.3499752842313359</v>
      </c>
      <c r="D77" t="s">
        <v>383</v>
      </c>
      <c r="E77">
        <v>26</v>
      </c>
      <c r="F77" t="s">
        <v>383</v>
      </c>
      <c r="G77">
        <v>2</v>
      </c>
      <c r="H77">
        <v>290.25</v>
      </c>
      <c r="I77">
        <v>395.685</v>
      </c>
      <c r="J77">
        <v>331.18900000000002</v>
      </c>
      <c r="K77">
        <v>323.26400000000001</v>
      </c>
      <c r="L77" s="19">
        <v>45681</v>
      </c>
      <c r="M77" s="19">
        <v>45715</v>
      </c>
      <c r="N77" s="19">
        <v>45716</v>
      </c>
      <c r="O77">
        <v>299</v>
      </c>
      <c r="P77">
        <v>300.5</v>
      </c>
      <c r="Q77">
        <v>287</v>
      </c>
      <c r="R77">
        <v>1088334</v>
      </c>
      <c r="S77">
        <v>917066.6</v>
      </c>
      <c r="T77" t="s">
        <v>384</v>
      </c>
      <c r="U77">
        <v>38.794144430456512</v>
      </c>
    </row>
    <row r="78" spans="1:21" x14ac:dyDescent="0.25">
      <c r="A78" t="s">
        <v>19</v>
      </c>
      <c r="B78">
        <v>76.776896571401437</v>
      </c>
      <c r="C78">
        <v>-0.2839648593486529</v>
      </c>
      <c r="D78" t="s">
        <v>385</v>
      </c>
      <c r="E78">
        <v>26</v>
      </c>
      <c r="F78" t="s">
        <v>383</v>
      </c>
      <c r="G78">
        <v>11</v>
      </c>
      <c r="H78">
        <v>1685.55</v>
      </c>
      <c r="I78">
        <v>1715.6010000000001</v>
      </c>
      <c r="J78">
        <v>1681.6125</v>
      </c>
      <c r="K78">
        <v>1684.8710000000001</v>
      </c>
      <c r="L78" s="19">
        <v>45681</v>
      </c>
      <c r="M78" s="19">
        <v>45701</v>
      </c>
      <c r="N78" s="19">
        <v>45716</v>
      </c>
      <c r="O78">
        <v>1690.5</v>
      </c>
      <c r="P78">
        <v>1700.45</v>
      </c>
      <c r="Q78">
        <v>1685</v>
      </c>
      <c r="R78">
        <v>331471</v>
      </c>
      <c r="S78">
        <v>187508.1</v>
      </c>
      <c r="T78" t="s">
        <v>386</v>
      </c>
      <c r="U78">
        <v>48.099742642369179</v>
      </c>
    </row>
    <row r="79" spans="1:21" x14ac:dyDescent="0.25">
      <c r="A79" t="s">
        <v>32</v>
      </c>
      <c r="B79">
        <v>22.65802662184932</v>
      </c>
      <c r="C79">
        <v>-4.2881422408157874</v>
      </c>
      <c r="D79" t="s">
        <v>383</v>
      </c>
      <c r="E79">
        <v>26</v>
      </c>
      <c r="F79" t="s">
        <v>383</v>
      </c>
      <c r="G79">
        <v>13</v>
      </c>
      <c r="H79">
        <v>732.1</v>
      </c>
      <c r="I79">
        <v>829.75199999999995</v>
      </c>
      <c r="J79">
        <v>959.58199999999999</v>
      </c>
      <c r="K79">
        <v>965.60100000000011</v>
      </c>
      <c r="L79" s="19">
        <v>45681</v>
      </c>
      <c r="M79" s="19">
        <v>45699</v>
      </c>
      <c r="N79" s="19">
        <v>45716</v>
      </c>
      <c r="O79">
        <v>759.4</v>
      </c>
      <c r="P79">
        <v>768.75</v>
      </c>
      <c r="Q79">
        <v>708.15</v>
      </c>
      <c r="R79">
        <v>70793</v>
      </c>
      <c r="S79">
        <v>57715.75</v>
      </c>
      <c r="T79" t="s">
        <v>386</v>
      </c>
      <c r="U79">
        <v>25.278025240897112</v>
      </c>
    </row>
    <row r="80" spans="1:21" x14ac:dyDescent="0.25">
      <c r="A80" t="s">
        <v>199</v>
      </c>
      <c r="B80">
        <v>33.486260711393847</v>
      </c>
      <c r="C80">
        <v>3.2983330367206438</v>
      </c>
      <c r="D80" t="s">
        <v>383</v>
      </c>
      <c r="E80">
        <v>26</v>
      </c>
      <c r="F80" t="s">
        <v>383</v>
      </c>
      <c r="G80">
        <v>13</v>
      </c>
      <c r="H80">
        <v>870.65</v>
      </c>
      <c r="I80">
        <v>1003.043</v>
      </c>
      <c r="J80">
        <v>1141.242</v>
      </c>
      <c r="K80">
        <v>1183.7909999999999</v>
      </c>
      <c r="L80" s="19">
        <v>45681</v>
      </c>
      <c r="M80" s="19">
        <v>45699</v>
      </c>
      <c r="N80" s="19">
        <v>45716</v>
      </c>
      <c r="O80">
        <v>823</v>
      </c>
      <c r="P80">
        <v>890.95</v>
      </c>
      <c r="Q80">
        <v>823</v>
      </c>
      <c r="R80">
        <v>2181020</v>
      </c>
      <c r="S80">
        <v>1633891</v>
      </c>
      <c r="T80" t="s">
        <v>386</v>
      </c>
      <c r="U80">
        <v>36.925175469594237</v>
      </c>
    </row>
    <row r="81" spans="1:21" x14ac:dyDescent="0.25">
      <c r="A81" t="s">
        <v>84</v>
      </c>
      <c r="B81">
        <v>-6.2601584385591806</v>
      </c>
      <c r="C81">
        <v>-1.818252306738005</v>
      </c>
      <c r="D81" t="s">
        <v>383</v>
      </c>
      <c r="E81">
        <v>26</v>
      </c>
      <c r="F81" t="s">
        <v>383</v>
      </c>
      <c r="G81">
        <v>15</v>
      </c>
      <c r="H81">
        <v>2532.5</v>
      </c>
      <c r="I81">
        <v>2817.858999999999</v>
      </c>
      <c r="J81">
        <v>2940.8724999999999</v>
      </c>
      <c r="K81">
        <v>2934.5929999999998</v>
      </c>
      <c r="L81" s="19">
        <v>45681</v>
      </c>
      <c r="M81" s="19">
        <v>45695</v>
      </c>
      <c r="N81" s="19">
        <v>45716</v>
      </c>
      <c r="O81">
        <v>2579.4</v>
      </c>
      <c r="P81">
        <v>2588.9</v>
      </c>
      <c r="Q81">
        <v>2496</v>
      </c>
      <c r="R81">
        <v>81464</v>
      </c>
      <c r="S81">
        <v>86904.35</v>
      </c>
      <c r="T81" t="s">
        <v>386</v>
      </c>
      <c r="U81">
        <v>32.404911570200227</v>
      </c>
    </row>
    <row r="82" spans="1:21" x14ac:dyDescent="0.25">
      <c r="A82" t="s">
        <v>194</v>
      </c>
      <c r="B82">
        <v>8.0479035451782757</v>
      </c>
      <c r="C82">
        <v>2.7967951580096129</v>
      </c>
      <c r="D82" t="s">
        <v>383</v>
      </c>
      <c r="E82">
        <v>26</v>
      </c>
      <c r="F82" t="s">
        <v>383</v>
      </c>
      <c r="G82">
        <v>37</v>
      </c>
      <c r="H82">
        <v>4144.1499999999996</v>
      </c>
      <c r="I82">
        <v>5030.3442500000001</v>
      </c>
      <c r="J82">
        <v>5731.045000000001</v>
      </c>
      <c r="K82">
        <v>5574.9120000000003</v>
      </c>
      <c r="L82" s="19">
        <v>45681</v>
      </c>
      <c r="M82" s="19">
        <v>45666</v>
      </c>
      <c r="N82" s="19">
        <v>45716</v>
      </c>
      <c r="O82">
        <v>3999.65</v>
      </c>
      <c r="P82">
        <v>4194.5</v>
      </c>
      <c r="Q82">
        <v>3905.05</v>
      </c>
      <c r="R82">
        <v>1088934</v>
      </c>
      <c r="S82">
        <v>1007825.2</v>
      </c>
      <c r="T82" t="s">
        <v>386</v>
      </c>
      <c r="U82">
        <v>36.88080539939908</v>
      </c>
    </row>
    <row r="83" spans="1:21" x14ac:dyDescent="0.25">
      <c r="A83" t="s">
        <v>284</v>
      </c>
      <c r="B83">
        <v>24.01270086256574</v>
      </c>
      <c r="C83">
        <v>-4.229828850855748</v>
      </c>
      <c r="D83" t="s">
        <v>383</v>
      </c>
      <c r="E83">
        <v>26</v>
      </c>
      <c r="F83" t="s">
        <v>383</v>
      </c>
      <c r="G83">
        <v>37</v>
      </c>
      <c r="H83">
        <v>195.85</v>
      </c>
      <c r="I83">
        <v>275.37610000000001</v>
      </c>
      <c r="J83">
        <v>269.7056</v>
      </c>
      <c r="K83">
        <v>265.50299999999999</v>
      </c>
      <c r="L83" s="19">
        <v>45681</v>
      </c>
      <c r="M83" s="19">
        <v>45666</v>
      </c>
      <c r="N83" s="19">
        <v>45716</v>
      </c>
      <c r="O83">
        <v>204</v>
      </c>
      <c r="P83">
        <v>205.6</v>
      </c>
      <c r="Q83">
        <v>194</v>
      </c>
      <c r="R83">
        <v>122774</v>
      </c>
      <c r="S83">
        <v>99001.15</v>
      </c>
      <c r="T83" t="s">
        <v>386</v>
      </c>
      <c r="U83">
        <v>27.494505840099549</v>
      </c>
    </row>
    <row r="84" spans="1:21" x14ac:dyDescent="0.25">
      <c r="A84" t="s">
        <v>107</v>
      </c>
      <c r="B84">
        <v>181.98124523223501</v>
      </c>
      <c r="C84">
        <v>0.80691246573064168</v>
      </c>
      <c r="D84" t="s">
        <v>383</v>
      </c>
      <c r="E84">
        <v>26</v>
      </c>
      <c r="F84" t="s">
        <v>383</v>
      </c>
      <c r="G84">
        <v>38</v>
      </c>
      <c r="H84">
        <v>13935.85</v>
      </c>
      <c r="I84">
        <v>13853.66675</v>
      </c>
      <c r="J84">
        <v>15822.376</v>
      </c>
      <c r="K84">
        <v>15837.556</v>
      </c>
      <c r="L84" s="19">
        <v>45681</v>
      </c>
      <c r="M84" s="19">
        <v>45665</v>
      </c>
      <c r="N84" s="19">
        <v>45716</v>
      </c>
      <c r="O84">
        <v>13725</v>
      </c>
      <c r="P84">
        <v>14090.4</v>
      </c>
      <c r="Q84">
        <v>13453</v>
      </c>
      <c r="R84">
        <v>851848</v>
      </c>
      <c r="S84">
        <v>302093.84999999998</v>
      </c>
      <c r="T84" t="s">
        <v>386</v>
      </c>
      <c r="U84">
        <v>38.776669883174208</v>
      </c>
    </row>
    <row r="85" spans="1:21" x14ac:dyDescent="0.25">
      <c r="A85" t="s">
        <v>244</v>
      </c>
      <c r="B85">
        <v>46.847089681378741</v>
      </c>
      <c r="C85">
        <v>-1.981677603794425</v>
      </c>
      <c r="D85" t="s">
        <v>383</v>
      </c>
      <c r="E85">
        <v>26</v>
      </c>
      <c r="F85" t="s">
        <v>383</v>
      </c>
      <c r="G85">
        <v>38</v>
      </c>
      <c r="H85">
        <v>754.3</v>
      </c>
      <c r="I85">
        <v>995.03949999999998</v>
      </c>
      <c r="J85">
        <v>1069.0989999999999</v>
      </c>
      <c r="K85">
        <v>1078.9780000000001</v>
      </c>
      <c r="L85" s="19">
        <v>45681</v>
      </c>
      <c r="M85" s="19">
        <v>45665</v>
      </c>
      <c r="N85" s="19">
        <v>45716</v>
      </c>
      <c r="O85">
        <v>760</v>
      </c>
      <c r="P85">
        <v>775.05</v>
      </c>
      <c r="Q85">
        <v>732.05</v>
      </c>
      <c r="R85">
        <v>117403</v>
      </c>
      <c r="S85">
        <v>79949.149999999994</v>
      </c>
      <c r="T85" t="s">
        <v>386</v>
      </c>
      <c r="U85">
        <v>25.74480302334247</v>
      </c>
    </row>
    <row r="86" spans="1:21" x14ac:dyDescent="0.25">
      <c r="A86" t="s">
        <v>271</v>
      </c>
      <c r="B86">
        <v>61.027297236859582</v>
      </c>
      <c r="C86">
        <v>-1.492063492063489</v>
      </c>
      <c r="D86" t="s">
        <v>383</v>
      </c>
      <c r="E86">
        <v>27</v>
      </c>
      <c r="F86" t="s">
        <v>385</v>
      </c>
      <c r="G86">
        <v>2</v>
      </c>
      <c r="H86">
        <v>620.6</v>
      </c>
      <c r="I86">
        <v>657.34900000000005</v>
      </c>
      <c r="J86">
        <v>640.85449999999992</v>
      </c>
      <c r="K86">
        <v>644.10599999999999</v>
      </c>
      <c r="L86" s="19">
        <v>45680</v>
      </c>
      <c r="M86" s="19">
        <v>45715</v>
      </c>
      <c r="N86" s="19">
        <v>45716</v>
      </c>
      <c r="O86">
        <v>623.1</v>
      </c>
      <c r="P86">
        <v>637.9</v>
      </c>
      <c r="Q86">
        <v>619.04999999999995</v>
      </c>
      <c r="R86">
        <v>159501</v>
      </c>
      <c r="S86">
        <v>99052.15</v>
      </c>
      <c r="T86" t="s">
        <v>384</v>
      </c>
      <c r="U86">
        <v>42.840932434046458</v>
      </c>
    </row>
    <row r="87" spans="1:21" x14ac:dyDescent="0.25">
      <c r="A87" t="s">
        <v>210</v>
      </c>
      <c r="B87">
        <v>179.87727406254041</v>
      </c>
      <c r="C87">
        <v>-3.9462517680339428</v>
      </c>
      <c r="D87" t="s">
        <v>383</v>
      </c>
      <c r="E87">
        <v>27</v>
      </c>
      <c r="F87" t="s">
        <v>383</v>
      </c>
      <c r="G87">
        <v>9</v>
      </c>
      <c r="H87">
        <v>339.55</v>
      </c>
      <c r="I87">
        <v>351.89585</v>
      </c>
      <c r="J87">
        <v>393.60449999999997</v>
      </c>
      <c r="K87">
        <v>392.24700000000001</v>
      </c>
      <c r="L87" s="19">
        <v>45680</v>
      </c>
      <c r="M87" s="19">
        <v>45705</v>
      </c>
      <c r="N87" s="19">
        <v>45716</v>
      </c>
      <c r="O87">
        <v>348.55</v>
      </c>
      <c r="P87">
        <v>350.85</v>
      </c>
      <c r="Q87">
        <v>329.55</v>
      </c>
      <c r="R87">
        <v>1389102</v>
      </c>
      <c r="S87">
        <v>496325.4</v>
      </c>
      <c r="T87" t="s">
        <v>386</v>
      </c>
      <c r="U87">
        <v>34.045202595064808</v>
      </c>
    </row>
    <row r="88" spans="1:21" x14ac:dyDescent="0.25">
      <c r="A88" t="s">
        <v>74</v>
      </c>
      <c r="B88">
        <v>83.448286105253587</v>
      </c>
      <c r="C88">
        <v>-0.45679877494873761</v>
      </c>
      <c r="D88" t="s">
        <v>383</v>
      </c>
      <c r="E88">
        <v>28</v>
      </c>
      <c r="F88" t="s">
        <v>383</v>
      </c>
      <c r="G88">
        <v>8</v>
      </c>
      <c r="H88">
        <v>1917.65</v>
      </c>
      <c r="I88">
        <v>1834.36175</v>
      </c>
      <c r="J88">
        <v>1949.3045</v>
      </c>
      <c r="K88">
        <v>1974.615</v>
      </c>
      <c r="L88" s="19">
        <v>45679</v>
      </c>
      <c r="M88" s="19">
        <v>45706</v>
      </c>
      <c r="N88" s="19">
        <v>45716</v>
      </c>
      <c r="O88">
        <v>1917</v>
      </c>
      <c r="P88">
        <v>1951.35</v>
      </c>
      <c r="Q88">
        <v>1878.35</v>
      </c>
      <c r="R88">
        <v>1272178</v>
      </c>
      <c r="S88">
        <v>693480.45</v>
      </c>
      <c r="T88" t="s">
        <v>386</v>
      </c>
      <c r="U88">
        <v>48.428316651244423</v>
      </c>
    </row>
    <row r="89" spans="1:21" x14ac:dyDescent="0.25">
      <c r="A89" t="s">
        <v>263</v>
      </c>
      <c r="B89">
        <v>-6.7894441567408874</v>
      </c>
      <c r="C89">
        <v>-1.989640149566053</v>
      </c>
      <c r="D89" t="s">
        <v>383</v>
      </c>
      <c r="E89">
        <v>28</v>
      </c>
      <c r="F89" t="s">
        <v>383</v>
      </c>
      <c r="G89">
        <v>13</v>
      </c>
      <c r="H89">
        <v>1428.55</v>
      </c>
      <c r="I89">
        <v>1748.5374999999999</v>
      </c>
      <c r="J89">
        <v>2038.605</v>
      </c>
      <c r="K89">
        <v>2054.2849999999999</v>
      </c>
      <c r="L89" s="19">
        <v>45679</v>
      </c>
      <c r="M89" s="19">
        <v>45699</v>
      </c>
      <c r="N89" s="19">
        <v>45716</v>
      </c>
      <c r="O89">
        <v>1425</v>
      </c>
      <c r="P89">
        <v>1459</v>
      </c>
      <c r="Q89">
        <v>1398</v>
      </c>
      <c r="R89">
        <v>34558</v>
      </c>
      <c r="S89">
        <v>37075.199999999997</v>
      </c>
      <c r="T89" t="s">
        <v>386</v>
      </c>
      <c r="U89">
        <v>24.291901844526581</v>
      </c>
    </row>
    <row r="90" spans="1:21" x14ac:dyDescent="0.25">
      <c r="A90" t="s">
        <v>193</v>
      </c>
      <c r="B90">
        <v>-3.5017429476619149</v>
      </c>
      <c r="C90">
        <v>-2.9522978475858102</v>
      </c>
      <c r="D90" t="s">
        <v>385</v>
      </c>
      <c r="E90">
        <v>28</v>
      </c>
      <c r="F90" t="s">
        <v>385</v>
      </c>
      <c r="G90">
        <v>20</v>
      </c>
      <c r="H90">
        <v>1000.95</v>
      </c>
      <c r="I90">
        <v>956.65325000000007</v>
      </c>
      <c r="J90">
        <v>911.04150000000004</v>
      </c>
      <c r="K90">
        <v>927.07500000000005</v>
      </c>
      <c r="L90" s="19">
        <v>45679</v>
      </c>
      <c r="M90" s="19">
        <v>45689</v>
      </c>
      <c r="N90" s="19">
        <v>45716</v>
      </c>
      <c r="O90">
        <v>1025</v>
      </c>
      <c r="P90">
        <v>1025</v>
      </c>
      <c r="Q90">
        <v>961.2</v>
      </c>
      <c r="R90">
        <v>248741</v>
      </c>
      <c r="S90">
        <v>257767.35</v>
      </c>
      <c r="T90" t="s">
        <v>384</v>
      </c>
      <c r="U90">
        <v>56.722358798851253</v>
      </c>
    </row>
    <row r="91" spans="1:21" x14ac:dyDescent="0.25">
      <c r="A91" t="s">
        <v>189</v>
      </c>
      <c r="B91">
        <v>-39.800568240025832</v>
      </c>
      <c r="C91">
        <v>-1.9029553937465531</v>
      </c>
      <c r="D91" t="s">
        <v>383</v>
      </c>
      <c r="E91">
        <v>28</v>
      </c>
      <c r="F91" t="s">
        <v>383</v>
      </c>
      <c r="G91">
        <v>46</v>
      </c>
      <c r="H91">
        <v>801.6</v>
      </c>
      <c r="I91">
        <v>907.62475000000006</v>
      </c>
      <c r="J91">
        <v>945.94449999999995</v>
      </c>
      <c r="K91">
        <v>933.89399999999989</v>
      </c>
      <c r="L91" s="19">
        <v>45679</v>
      </c>
      <c r="M91" s="19">
        <v>45653</v>
      </c>
      <c r="N91" s="19">
        <v>45716</v>
      </c>
      <c r="O91">
        <v>811.75</v>
      </c>
      <c r="P91">
        <v>813</v>
      </c>
      <c r="Q91">
        <v>794.2</v>
      </c>
      <c r="R91">
        <v>131334</v>
      </c>
      <c r="S91">
        <v>218164.85</v>
      </c>
      <c r="T91" t="s">
        <v>386</v>
      </c>
      <c r="U91">
        <v>25.61569143198432</v>
      </c>
    </row>
    <row r="92" spans="1:21" x14ac:dyDescent="0.25">
      <c r="A92" t="s">
        <v>335</v>
      </c>
      <c r="B92">
        <v>-38.563234535086529</v>
      </c>
      <c r="C92">
        <v>-3.0775488069414378</v>
      </c>
      <c r="D92" t="s">
        <v>383</v>
      </c>
      <c r="E92">
        <v>29</v>
      </c>
      <c r="F92" t="s">
        <v>383</v>
      </c>
      <c r="G92">
        <v>2</v>
      </c>
      <c r="H92">
        <v>357.45</v>
      </c>
      <c r="I92">
        <v>384.83699999999999</v>
      </c>
      <c r="J92">
        <v>424.02050000000003</v>
      </c>
      <c r="K92">
        <v>417.89100000000002</v>
      </c>
      <c r="L92" s="19">
        <v>45678</v>
      </c>
      <c r="M92" s="19">
        <v>45715</v>
      </c>
      <c r="N92" s="19">
        <v>45716</v>
      </c>
      <c r="O92">
        <v>363.8</v>
      </c>
      <c r="P92">
        <v>367.45</v>
      </c>
      <c r="Q92">
        <v>351.05</v>
      </c>
      <c r="R92">
        <v>746443</v>
      </c>
      <c r="S92">
        <v>1214977.7</v>
      </c>
      <c r="T92" t="s">
        <v>386</v>
      </c>
      <c r="U92">
        <v>37.377323852608178</v>
      </c>
    </row>
    <row r="93" spans="1:21" x14ac:dyDescent="0.25">
      <c r="A93" t="s">
        <v>287</v>
      </c>
      <c r="B93">
        <v>-51.589413950685483</v>
      </c>
      <c r="C93">
        <v>-1.2509090909090941</v>
      </c>
      <c r="D93" t="s">
        <v>383</v>
      </c>
      <c r="E93">
        <v>29</v>
      </c>
      <c r="F93" t="s">
        <v>383</v>
      </c>
      <c r="G93">
        <v>9</v>
      </c>
      <c r="H93">
        <v>678.9</v>
      </c>
      <c r="I93">
        <v>843.82024999999999</v>
      </c>
      <c r="J93">
        <v>877.92349999999988</v>
      </c>
      <c r="K93">
        <v>858.04499999999996</v>
      </c>
      <c r="L93" s="19">
        <v>45678</v>
      </c>
      <c r="M93" s="19">
        <v>45705</v>
      </c>
      <c r="N93" s="19">
        <v>45716</v>
      </c>
      <c r="O93">
        <v>683</v>
      </c>
      <c r="P93">
        <v>687.95</v>
      </c>
      <c r="Q93">
        <v>665.05</v>
      </c>
      <c r="R93">
        <v>15424</v>
      </c>
      <c r="S93">
        <v>31860.799999999999</v>
      </c>
      <c r="T93" t="s">
        <v>386</v>
      </c>
      <c r="U93">
        <v>31.693778994755579</v>
      </c>
    </row>
    <row r="94" spans="1:21" x14ac:dyDescent="0.25">
      <c r="A94" t="s">
        <v>204</v>
      </c>
      <c r="B94">
        <v>-6.8302415303865454</v>
      </c>
      <c r="C94">
        <v>-1.3428827215756489</v>
      </c>
      <c r="D94" t="s">
        <v>383</v>
      </c>
      <c r="E94">
        <v>29</v>
      </c>
      <c r="F94" t="s">
        <v>383</v>
      </c>
      <c r="G94">
        <v>36</v>
      </c>
      <c r="H94">
        <v>220.4</v>
      </c>
      <c r="I94">
        <v>323.2765</v>
      </c>
      <c r="J94">
        <v>303.98050000000001</v>
      </c>
      <c r="K94">
        <v>293.541</v>
      </c>
      <c r="L94" s="19">
        <v>45678</v>
      </c>
      <c r="M94" s="19">
        <v>45667</v>
      </c>
      <c r="N94" s="19">
        <v>45716</v>
      </c>
      <c r="O94">
        <v>221.1</v>
      </c>
      <c r="P94">
        <v>222.55</v>
      </c>
      <c r="Q94">
        <v>214.05</v>
      </c>
      <c r="R94">
        <v>1178995</v>
      </c>
      <c r="S94">
        <v>1265426.7</v>
      </c>
      <c r="T94" t="s">
        <v>384</v>
      </c>
      <c r="U94">
        <v>18.214916330903971</v>
      </c>
    </row>
    <row r="95" spans="1:21" x14ac:dyDescent="0.25">
      <c r="A95" t="s">
        <v>254</v>
      </c>
      <c r="B95">
        <v>199.14321015922559</v>
      </c>
      <c r="C95">
        <v>-1.5420328303763891</v>
      </c>
      <c r="D95" t="s">
        <v>383</v>
      </c>
      <c r="E95">
        <v>29</v>
      </c>
      <c r="F95" t="s">
        <v>383</v>
      </c>
      <c r="G95">
        <v>40</v>
      </c>
      <c r="H95">
        <v>1484.5</v>
      </c>
      <c r="I95">
        <v>1878.7317499999999</v>
      </c>
      <c r="J95">
        <v>1962.7159999999999</v>
      </c>
      <c r="K95">
        <v>1902.7370000000001</v>
      </c>
      <c r="L95" s="19">
        <v>45678</v>
      </c>
      <c r="M95" s="19">
        <v>45663</v>
      </c>
      <c r="N95" s="19">
        <v>45716</v>
      </c>
      <c r="O95">
        <v>1478</v>
      </c>
      <c r="P95">
        <v>1507.75</v>
      </c>
      <c r="Q95">
        <v>1451.95</v>
      </c>
      <c r="R95">
        <v>2237962</v>
      </c>
      <c r="S95">
        <v>748123.95</v>
      </c>
      <c r="T95" t="s">
        <v>386</v>
      </c>
      <c r="U95">
        <v>25.234686004838739</v>
      </c>
    </row>
    <row r="96" spans="1:21" x14ac:dyDescent="0.25">
      <c r="A96" t="s">
        <v>56</v>
      </c>
      <c r="B96">
        <v>-5.8095672481654601</v>
      </c>
      <c r="C96">
        <v>-2.76544363947963</v>
      </c>
      <c r="D96" t="s">
        <v>385</v>
      </c>
      <c r="E96">
        <v>30</v>
      </c>
      <c r="F96" t="s">
        <v>385</v>
      </c>
      <c r="G96">
        <v>42</v>
      </c>
      <c r="H96">
        <v>1872.3</v>
      </c>
      <c r="I96">
        <v>1695.9324999999999</v>
      </c>
      <c r="J96">
        <v>1719.6585</v>
      </c>
      <c r="K96">
        <v>1739.838</v>
      </c>
      <c r="L96" s="19">
        <v>45677</v>
      </c>
      <c r="M96" s="19">
        <v>45659</v>
      </c>
      <c r="N96" s="19">
        <v>45716</v>
      </c>
      <c r="O96">
        <v>1911.05</v>
      </c>
      <c r="P96">
        <v>1920</v>
      </c>
      <c r="Q96">
        <v>1862.55</v>
      </c>
      <c r="R96">
        <v>1797567</v>
      </c>
      <c r="S96">
        <v>1908439.05</v>
      </c>
      <c r="T96" t="s">
        <v>386</v>
      </c>
      <c r="U96">
        <v>57.926513670219933</v>
      </c>
    </row>
    <row r="97" spans="1:21" x14ac:dyDescent="0.25">
      <c r="A97" t="s">
        <v>221</v>
      </c>
      <c r="B97">
        <v>-53.929004973346792</v>
      </c>
      <c r="C97">
        <v>-2.30370665603827</v>
      </c>
      <c r="D97" t="s">
        <v>383</v>
      </c>
      <c r="E97">
        <v>31</v>
      </c>
      <c r="F97" t="s">
        <v>385</v>
      </c>
      <c r="G97">
        <v>6</v>
      </c>
      <c r="H97">
        <v>612.79999999999995</v>
      </c>
      <c r="I97">
        <v>657.32725000000005</v>
      </c>
      <c r="J97">
        <v>653.32249999999999</v>
      </c>
      <c r="K97">
        <v>653.86400000000003</v>
      </c>
      <c r="L97" s="19">
        <v>45674</v>
      </c>
      <c r="M97" s="19">
        <v>45708</v>
      </c>
      <c r="N97" s="19">
        <v>45716</v>
      </c>
      <c r="O97">
        <v>622</v>
      </c>
      <c r="P97">
        <v>626.29999999999995</v>
      </c>
      <c r="Q97">
        <v>605.1</v>
      </c>
      <c r="R97">
        <v>211469</v>
      </c>
      <c r="S97">
        <v>459006.8</v>
      </c>
      <c r="T97" t="s">
        <v>384</v>
      </c>
      <c r="U97">
        <v>44.112022073584257</v>
      </c>
    </row>
    <row r="98" spans="1:21" x14ac:dyDescent="0.25">
      <c r="A98" t="s">
        <v>173</v>
      </c>
      <c r="B98">
        <v>92.637058217864293</v>
      </c>
      <c r="C98">
        <v>-6.6574839302112023</v>
      </c>
      <c r="D98" t="s">
        <v>383</v>
      </c>
      <c r="E98">
        <v>31</v>
      </c>
      <c r="F98" t="s">
        <v>383</v>
      </c>
      <c r="G98">
        <v>12</v>
      </c>
      <c r="H98">
        <v>304.95</v>
      </c>
      <c r="I98">
        <v>405.50400000000002</v>
      </c>
      <c r="J98">
        <v>387.23649999999998</v>
      </c>
      <c r="K98">
        <v>379.63199999999989</v>
      </c>
      <c r="L98" s="19">
        <v>45674</v>
      </c>
      <c r="M98" s="19">
        <v>45700</v>
      </c>
      <c r="N98" s="19">
        <v>45716</v>
      </c>
      <c r="O98">
        <v>324.8</v>
      </c>
      <c r="P98">
        <v>324.8</v>
      </c>
      <c r="Q98">
        <v>301.10000000000002</v>
      </c>
      <c r="R98">
        <v>333681</v>
      </c>
      <c r="S98">
        <v>173217.45</v>
      </c>
      <c r="T98" t="s">
        <v>384</v>
      </c>
      <c r="U98">
        <v>25.331538404819639</v>
      </c>
    </row>
    <row r="99" spans="1:21" x14ac:dyDescent="0.25">
      <c r="A99" t="s">
        <v>29</v>
      </c>
      <c r="B99">
        <v>51.753598363742583</v>
      </c>
      <c r="C99">
        <v>-2.9974830295171961</v>
      </c>
      <c r="D99" t="s">
        <v>383</v>
      </c>
      <c r="E99">
        <v>31</v>
      </c>
      <c r="F99" t="s">
        <v>383</v>
      </c>
      <c r="G99">
        <v>46</v>
      </c>
      <c r="H99">
        <v>635.9</v>
      </c>
      <c r="I99">
        <v>881.93024999999989</v>
      </c>
      <c r="J99">
        <v>952.17149999999992</v>
      </c>
      <c r="K99">
        <v>898.65100000000007</v>
      </c>
      <c r="L99" s="19">
        <v>45674</v>
      </c>
      <c r="M99" s="19">
        <v>45653</v>
      </c>
      <c r="N99" s="19">
        <v>45716</v>
      </c>
      <c r="O99">
        <v>655</v>
      </c>
      <c r="P99">
        <v>655</v>
      </c>
      <c r="Q99">
        <v>625</v>
      </c>
      <c r="R99">
        <v>343525</v>
      </c>
      <c r="S99">
        <v>226370.25</v>
      </c>
      <c r="T99" t="s">
        <v>386</v>
      </c>
      <c r="U99">
        <v>26.401598632332991</v>
      </c>
    </row>
    <row r="100" spans="1:21" x14ac:dyDescent="0.25">
      <c r="A100" t="s">
        <v>205</v>
      </c>
      <c r="B100">
        <v>68.822867571687496</v>
      </c>
      <c r="C100">
        <v>-2.2900567379528081</v>
      </c>
      <c r="D100" t="s">
        <v>385</v>
      </c>
      <c r="E100">
        <v>32</v>
      </c>
      <c r="F100" t="s">
        <v>383</v>
      </c>
      <c r="G100">
        <v>1</v>
      </c>
      <c r="H100">
        <v>1902.95</v>
      </c>
      <c r="I100">
        <v>1803.5864999999999</v>
      </c>
      <c r="J100">
        <v>1821.5395000000001</v>
      </c>
      <c r="K100">
        <v>1865.556</v>
      </c>
      <c r="L100" s="19">
        <v>45673</v>
      </c>
      <c r="M100" s="19">
        <v>45716</v>
      </c>
      <c r="N100" s="19">
        <v>45716</v>
      </c>
      <c r="O100">
        <v>1937.05</v>
      </c>
      <c r="P100">
        <v>1937.05</v>
      </c>
      <c r="Q100">
        <v>1893.9</v>
      </c>
      <c r="R100">
        <v>6970315</v>
      </c>
      <c r="S100">
        <v>4128774.2</v>
      </c>
      <c r="T100" t="s">
        <v>386</v>
      </c>
      <c r="U100">
        <v>46.493941902361072</v>
      </c>
    </row>
    <row r="101" spans="1:21" x14ac:dyDescent="0.25">
      <c r="A101" t="s">
        <v>288</v>
      </c>
      <c r="B101">
        <v>-38.488260544213688</v>
      </c>
      <c r="C101">
        <v>-3.0082186804704172</v>
      </c>
      <c r="D101" t="s">
        <v>383</v>
      </c>
      <c r="E101">
        <v>32</v>
      </c>
      <c r="F101" t="s">
        <v>385</v>
      </c>
      <c r="G101">
        <v>4</v>
      </c>
      <c r="H101">
        <v>2136.0500000000002</v>
      </c>
      <c r="I101">
        <v>2316.2307500000002</v>
      </c>
      <c r="J101">
        <v>2405.4</v>
      </c>
      <c r="K101">
        <v>2342.6959999999999</v>
      </c>
      <c r="L101" s="19">
        <v>45673</v>
      </c>
      <c r="M101" s="19">
        <v>45712</v>
      </c>
      <c r="N101" s="19">
        <v>45716</v>
      </c>
      <c r="O101">
        <v>2172.4</v>
      </c>
      <c r="P101">
        <v>2180.9</v>
      </c>
      <c r="Q101">
        <v>2092.85</v>
      </c>
      <c r="R101">
        <v>62966</v>
      </c>
      <c r="S101">
        <v>102364.2</v>
      </c>
      <c r="T101" t="s">
        <v>386</v>
      </c>
      <c r="U101">
        <v>45.144227666824968</v>
      </c>
    </row>
    <row r="102" spans="1:21" x14ac:dyDescent="0.25">
      <c r="A102" t="s">
        <v>71</v>
      </c>
      <c r="B102">
        <v>103.5402761513854</v>
      </c>
      <c r="C102">
        <v>-4.859428017450317</v>
      </c>
      <c r="D102" t="s">
        <v>385</v>
      </c>
      <c r="E102">
        <v>32</v>
      </c>
      <c r="F102" t="s">
        <v>383</v>
      </c>
      <c r="G102">
        <v>6</v>
      </c>
      <c r="H102">
        <v>1570.2</v>
      </c>
      <c r="I102">
        <v>1558.6875</v>
      </c>
      <c r="J102">
        <v>1624.098</v>
      </c>
      <c r="K102">
        <v>1628.441</v>
      </c>
      <c r="L102" s="19">
        <v>45673</v>
      </c>
      <c r="M102" s="19">
        <v>45708</v>
      </c>
      <c r="N102" s="19">
        <v>45716</v>
      </c>
      <c r="O102">
        <v>1641.95</v>
      </c>
      <c r="P102">
        <v>1648.45</v>
      </c>
      <c r="Q102">
        <v>1559.5</v>
      </c>
      <c r="R102">
        <v>13640211</v>
      </c>
      <c r="S102">
        <v>6701480.0499999998</v>
      </c>
      <c r="T102" t="s">
        <v>386</v>
      </c>
      <c r="U102">
        <v>37.406708144889727</v>
      </c>
    </row>
    <row r="103" spans="1:21" x14ac:dyDescent="0.25">
      <c r="A103" t="s">
        <v>28</v>
      </c>
      <c r="B103">
        <v>-21.256800492161322</v>
      </c>
      <c r="C103">
        <v>-4.0891811363402883</v>
      </c>
      <c r="D103" t="s">
        <v>383</v>
      </c>
      <c r="E103">
        <v>32</v>
      </c>
      <c r="F103" t="s">
        <v>383</v>
      </c>
      <c r="G103">
        <v>11</v>
      </c>
      <c r="H103">
        <v>1400.25</v>
      </c>
      <c r="I103">
        <v>1519.10475</v>
      </c>
      <c r="J103">
        <v>1611.9480000000001</v>
      </c>
      <c r="K103">
        <v>1597.9090000000001</v>
      </c>
      <c r="L103" s="19">
        <v>45673</v>
      </c>
      <c r="M103" s="19">
        <v>45701</v>
      </c>
      <c r="N103" s="19">
        <v>45716</v>
      </c>
      <c r="O103">
        <v>1450</v>
      </c>
      <c r="P103">
        <v>1457.8</v>
      </c>
      <c r="Q103">
        <v>1381.85</v>
      </c>
      <c r="R103">
        <v>361780</v>
      </c>
      <c r="S103">
        <v>459442.85</v>
      </c>
      <c r="T103" t="s">
        <v>386</v>
      </c>
      <c r="U103">
        <v>36.631850541019318</v>
      </c>
    </row>
    <row r="104" spans="1:21" x14ac:dyDescent="0.25">
      <c r="A104" t="s">
        <v>111</v>
      </c>
      <c r="B104">
        <v>17.653171962498998</v>
      </c>
      <c r="C104">
        <v>-3.966519256510606</v>
      </c>
      <c r="D104" t="s">
        <v>383</v>
      </c>
      <c r="E104">
        <v>32</v>
      </c>
      <c r="F104" t="s">
        <v>383</v>
      </c>
      <c r="G104">
        <v>13</v>
      </c>
      <c r="H104">
        <v>2833.9</v>
      </c>
      <c r="I104">
        <v>2904.297</v>
      </c>
      <c r="J104">
        <v>3255.3905</v>
      </c>
      <c r="K104">
        <v>3226.3739999999998</v>
      </c>
      <c r="L104" s="19">
        <v>45673</v>
      </c>
      <c r="M104" s="19">
        <v>45699</v>
      </c>
      <c r="N104" s="19">
        <v>45716</v>
      </c>
      <c r="O104">
        <v>2950.95</v>
      </c>
      <c r="P104">
        <v>2999</v>
      </c>
      <c r="Q104">
        <v>2812.15</v>
      </c>
      <c r="R104">
        <v>69059</v>
      </c>
      <c r="S104">
        <v>58697.1</v>
      </c>
      <c r="T104" t="s">
        <v>386</v>
      </c>
      <c r="U104">
        <v>32.107476214198869</v>
      </c>
    </row>
    <row r="105" spans="1:21" x14ac:dyDescent="0.25">
      <c r="A105" t="s">
        <v>343</v>
      </c>
      <c r="B105">
        <v>24.560357619473521</v>
      </c>
      <c r="C105">
        <v>-3.8153362288452932</v>
      </c>
      <c r="D105" t="s">
        <v>383</v>
      </c>
      <c r="E105">
        <v>32</v>
      </c>
      <c r="F105" t="s">
        <v>383</v>
      </c>
      <c r="G105">
        <v>16</v>
      </c>
      <c r="H105">
        <v>1284.45</v>
      </c>
      <c r="I105">
        <v>1428.741</v>
      </c>
      <c r="J105">
        <v>1480.9770000000001</v>
      </c>
      <c r="K105">
        <v>1464.963</v>
      </c>
      <c r="L105" s="19">
        <v>45673</v>
      </c>
      <c r="M105" s="19">
        <v>45694</v>
      </c>
      <c r="N105" s="19">
        <v>45716</v>
      </c>
      <c r="O105">
        <v>1335</v>
      </c>
      <c r="P105">
        <v>1335</v>
      </c>
      <c r="Q105">
        <v>1276.5999999999999</v>
      </c>
      <c r="R105">
        <v>900840</v>
      </c>
      <c r="S105">
        <v>723215.65</v>
      </c>
      <c r="T105" t="s">
        <v>386</v>
      </c>
      <c r="U105">
        <v>32.26779564740913</v>
      </c>
    </row>
    <row r="106" spans="1:21" x14ac:dyDescent="0.25">
      <c r="A106" t="s">
        <v>176</v>
      </c>
      <c r="B106">
        <v>36.917348062184033</v>
      </c>
      <c r="C106">
        <v>4.2178983394600049</v>
      </c>
      <c r="D106" t="s">
        <v>383</v>
      </c>
      <c r="E106">
        <v>32</v>
      </c>
      <c r="F106" t="s">
        <v>383</v>
      </c>
      <c r="G106">
        <v>35</v>
      </c>
      <c r="H106">
        <v>1644.35</v>
      </c>
      <c r="I106">
        <v>1815.11275</v>
      </c>
      <c r="J106">
        <v>1785.615</v>
      </c>
      <c r="K106">
        <v>1751.1579999999999</v>
      </c>
      <c r="L106" s="19">
        <v>45673</v>
      </c>
      <c r="M106" s="19">
        <v>45670</v>
      </c>
      <c r="N106" s="19">
        <v>45716</v>
      </c>
      <c r="O106">
        <v>1577.5</v>
      </c>
      <c r="P106">
        <v>1667.2</v>
      </c>
      <c r="Q106">
        <v>1525.25</v>
      </c>
      <c r="R106">
        <v>216953</v>
      </c>
      <c r="S106">
        <v>158455.45000000001</v>
      </c>
      <c r="T106" t="s">
        <v>384</v>
      </c>
      <c r="U106">
        <v>46.351089330329472</v>
      </c>
    </row>
    <row r="107" spans="1:21" x14ac:dyDescent="0.25">
      <c r="A107" t="s">
        <v>275</v>
      </c>
      <c r="B107">
        <v>-8.1090552352932193</v>
      </c>
      <c r="C107">
        <v>-4.5396788725886603</v>
      </c>
      <c r="D107" t="s">
        <v>383</v>
      </c>
      <c r="E107">
        <v>32</v>
      </c>
      <c r="F107" t="s">
        <v>383</v>
      </c>
      <c r="G107">
        <v>35</v>
      </c>
      <c r="H107">
        <v>1239.5999999999999</v>
      </c>
      <c r="I107">
        <v>1380.1659999999999</v>
      </c>
      <c r="J107">
        <v>1489.1569999999999</v>
      </c>
      <c r="K107">
        <v>1429.509</v>
      </c>
      <c r="L107" s="19">
        <v>45673</v>
      </c>
      <c r="M107" s="19">
        <v>45670</v>
      </c>
      <c r="N107" s="19">
        <v>45716</v>
      </c>
      <c r="O107">
        <v>1289.75</v>
      </c>
      <c r="P107">
        <v>1294.8</v>
      </c>
      <c r="Q107">
        <v>1231</v>
      </c>
      <c r="R107">
        <v>141860</v>
      </c>
      <c r="S107">
        <v>154378.65</v>
      </c>
      <c r="T107" t="s">
        <v>386</v>
      </c>
      <c r="U107">
        <v>30.76064795985674</v>
      </c>
    </row>
    <row r="108" spans="1:21" x14ac:dyDescent="0.25">
      <c r="A108" t="s">
        <v>357</v>
      </c>
      <c r="B108">
        <v>42.857142857142847</v>
      </c>
      <c r="C108">
        <v>-5.1346776201145099</v>
      </c>
      <c r="D108" t="s">
        <v>383</v>
      </c>
      <c r="E108">
        <v>32</v>
      </c>
      <c r="F108" t="s">
        <v>383</v>
      </c>
      <c r="G108">
        <v>37</v>
      </c>
      <c r="H108">
        <v>9526.85</v>
      </c>
      <c r="I108">
        <v>14801.50325</v>
      </c>
      <c r="J108">
        <v>14592.528</v>
      </c>
      <c r="K108">
        <v>13505.047</v>
      </c>
      <c r="L108" s="19">
        <v>45673</v>
      </c>
      <c r="M108" s="19">
        <v>45666</v>
      </c>
      <c r="N108" s="19">
        <v>45716</v>
      </c>
      <c r="O108">
        <v>9870</v>
      </c>
      <c r="P108">
        <v>10052</v>
      </c>
      <c r="Q108">
        <v>9495</v>
      </c>
      <c r="R108">
        <v>815</v>
      </c>
      <c r="S108">
        <v>570.5</v>
      </c>
      <c r="T108" t="s">
        <v>386</v>
      </c>
      <c r="U108">
        <v>26.989324986816499</v>
      </c>
    </row>
    <row r="109" spans="1:21" x14ac:dyDescent="0.25">
      <c r="A109" t="s">
        <v>64</v>
      </c>
      <c r="B109">
        <v>-58.463671697415947</v>
      </c>
      <c r="C109">
        <v>-4.7689608110742903</v>
      </c>
      <c r="D109" t="s">
        <v>383</v>
      </c>
      <c r="E109">
        <v>33</v>
      </c>
      <c r="F109" t="s">
        <v>383</v>
      </c>
      <c r="G109">
        <v>2</v>
      </c>
      <c r="H109">
        <v>1221.0999999999999</v>
      </c>
      <c r="I109">
        <v>1407.86</v>
      </c>
      <c r="J109">
        <v>1359.6455000000001</v>
      </c>
      <c r="K109">
        <v>1336.143</v>
      </c>
      <c r="L109" s="19">
        <v>45672</v>
      </c>
      <c r="M109" s="19">
        <v>45715</v>
      </c>
      <c r="N109" s="19">
        <v>45716</v>
      </c>
      <c r="O109">
        <v>1264.4000000000001</v>
      </c>
      <c r="P109">
        <v>1267</v>
      </c>
      <c r="Q109">
        <v>1213.8</v>
      </c>
      <c r="R109">
        <v>153312</v>
      </c>
      <c r="S109">
        <v>369103.4</v>
      </c>
      <c r="T109" t="s">
        <v>384</v>
      </c>
      <c r="U109">
        <v>36.432990290760458</v>
      </c>
    </row>
    <row r="110" spans="1:21" x14ac:dyDescent="0.25">
      <c r="A110" t="s">
        <v>318</v>
      </c>
      <c r="B110">
        <v>50.222659597933323</v>
      </c>
      <c r="C110">
        <v>-0.66112807714619948</v>
      </c>
      <c r="D110" t="s">
        <v>385</v>
      </c>
      <c r="E110">
        <v>33</v>
      </c>
      <c r="F110" t="s">
        <v>383</v>
      </c>
      <c r="G110">
        <v>3</v>
      </c>
      <c r="H110">
        <v>4537.75</v>
      </c>
      <c r="I110">
        <v>4550.1092500000004</v>
      </c>
      <c r="J110">
        <v>4522.0079999999998</v>
      </c>
      <c r="K110">
        <v>4502.701</v>
      </c>
      <c r="L110" s="19">
        <v>45672</v>
      </c>
      <c r="M110" s="19">
        <v>45713</v>
      </c>
      <c r="N110" s="19">
        <v>45716</v>
      </c>
      <c r="O110">
        <v>4552.05</v>
      </c>
      <c r="P110">
        <v>4584.55</v>
      </c>
      <c r="Q110">
        <v>4411.55</v>
      </c>
      <c r="R110">
        <v>163794</v>
      </c>
      <c r="S110">
        <v>109034.15</v>
      </c>
      <c r="T110" t="s">
        <v>386</v>
      </c>
      <c r="U110">
        <v>49.678563818767188</v>
      </c>
    </row>
    <row r="111" spans="1:21" x14ac:dyDescent="0.25">
      <c r="A111" t="s">
        <v>139</v>
      </c>
      <c r="B111">
        <v>20.31958381577552</v>
      </c>
      <c r="C111">
        <v>-4.0178019532698723</v>
      </c>
      <c r="D111" t="s">
        <v>383</v>
      </c>
      <c r="E111">
        <v>33</v>
      </c>
      <c r="F111" t="s">
        <v>385</v>
      </c>
      <c r="G111">
        <v>5</v>
      </c>
      <c r="H111">
        <v>1552.8</v>
      </c>
      <c r="I111">
        <v>1785.9137499999999</v>
      </c>
      <c r="J111">
        <v>1678.62</v>
      </c>
      <c r="K111">
        <v>1628.942</v>
      </c>
      <c r="L111" s="19">
        <v>45672</v>
      </c>
      <c r="M111" s="19">
        <v>45709</v>
      </c>
      <c r="N111" s="19">
        <v>45716</v>
      </c>
      <c r="O111">
        <v>1550</v>
      </c>
      <c r="P111">
        <v>1622.4</v>
      </c>
      <c r="Q111">
        <v>1504.2</v>
      </c>
      <c r="R111">
        <v>324164</v>
      </c>
      <c r="S111">
        <v>269419.15000000002</v>
      </c>
      <c r="T111" t="s">
        <v>384</v>
      </c>
      <c r="U111">
        <v>50.455295136817632</v>
      </c>
    </row>
    <row r="112" spans="1:21" x14ac:dyDescent="0.25">
      <c r="A112" t="s">
        <v>39</v>
      </c>
      <c r="B112">
        <v>87.622434913666481</v>
      </c>
      <c r="C112">
        <v>-2.1438272004138832</v>
      </c>
      <c r="D112" t="s">
        <v>383</v>
      </c>
      <c r="E112">
        <v>33</v>
      </c>
      <c r="F112" t="s">
        <v>383</v>
      </c>
      <c r="G112">
        <v>14</v>
      </c>
      <c r="H112">
        <v>6052.6</v>
      </c>
      <c r="I112">
        <v>6720.19</v>
      </c>
      <c r="J112">
        <v>6933.54</v>
      </c>
      <c r="K112">
        <v>6814.5209999999997</v>
      </c>
      <c r="L112" s="19">
        <v>45672</v>
      </c>
      <c r="M112" s="19">
        <v>45698</v>
      </c>
      <c r="N112" s="19">
        <v>45716</v>
      </c>
      <c r="O112">
        <v>6145.05</v>
      </c>
      <c r="P112">
        <v>6145.05</v>
      </c>
      <c r="Q112">
        <v>6001.35</v>
      </c>
      <c r="R112">
        <v>845516</v>
      </c>
      <c r="S112">
        <v>450647.6</v>
      </c>
      <c r="T112" t="s">
        <v>386</v>
      </c>
      <c r="U112">
        <v>25.727113917506092</v>
      </c>
    </row>
    <row r="113" spans="1:21" x14ac:dyDescent="0.25">
      <c r="A113" t="s">
        <v>266</v>
      </c>
      <c r="B113">
        <v>-29.84921802797172</v>
      </c>
      <c r="C113">
        <v>-2.582019191653298</v>
      </c>
      <c r="D113" t="s">
        <v>383</v>
      </c>
      <c r="E113">
        <v>33</v>
      </c>
      <c r="F113" t="s">
        <v>383</v>
      </c>
      <c r="G113">
        <v>14</v>
      </c>
      <c r="H113">
        <v>2035.5</v>
      </c>
      <c r="I113">
        <v>2323.547</v>
      </c>
      <c r="J113">
        <v>2562.3265000000001</v>
      </c>
      <c r="K113">
        <v>2426.3119999999999</v>
      </c>
      <c r="L113" s="19">
        <v>45672</v>
      </c>
      <c r="M113" s="19">
        <v>45698</v>
      </c>
      <c r="N113" s="19">
        <v>45716</v>
      </c>
      <c r="O113">
        <v>2051</v>
      </c>
      <c r="P113">
        <v>2100</v>
      </c>
      <c r="Q113">
        <v>1967.85</v>
      </c>
      <c r="R113">
        <v>151240</v>
      </c>
      <c r="S113">
        <v>215592.75</v>
      </c>
      <c r="T113" t="s">
        <v>386</v>
      </c>
      <c r="U113">
        <v>32.705711552118487</v>
      </c>
    </row>
    <row r="114" spans="1:21" x14ac:dyDescent="0.25">
      <c r="A114" t="s">
        <v>273</v>
      </c>
      <c r="B114">
        <v>105.7080055618966</v>
      </c>
      <c r="C114">
        <v>1.0023053021941369E-2</v>
      </c>
      <c r="D114" t="s">
        <v>383</v>
      </c>
      <c r="E114">
        <v>33</v>
      </c>
      <c r="F114" t="s">
        <v>383</v>
      </c>
      <c r="G114">
        <v>15</v>
      </c>
      <c r="H114">
        <v>498.9</v>
      </c>
      <c r="J114">
        <v>671.68820000000005</v>
      </c>
      <c r="K114">
        <v>630.27100000000007</v>
      </c>
      <c r="L114" s="19">
        <v>45672</v>
      </c>
      <c r="M114" s="19">
        <v>45695</v>
      </c>
      <c r="N114" s="19">
        <v>45716</v>
      </c>
      <c r="O114">
        <v>491</v>
      </c>
      <c r="P114">
        <v>500.15</v>
      </c>
      <c r="Q114">
        <v>484</v>
      </c>
      <c r="R114">
        <v>80110</v>
      </c>
      <c r="S114">
        <v>38943.550000000003</v>
      </c>
      <c r="U114">
        <v>30.26118928633797</v>
      </c>
    </row>
    <row r="115" spans="1:21" x14ac:dyDescent="0.25">
      <c r="A115" t="s">
        <v>336</v>
      </c>
      <c r="B115">
        <v>405.6643752511813</v>
      </c>
      <c r="C115">
        <v>-1.302310010043525</v>
      </c>
      <c r="D115" t="s">
        <v>383</v>
      </c>
      <c r="E115">
        <v>33</v>
      </c>
      <c r="F115" t="s">
        <v>383</v>
      </c>
      <c r="G115">
        <v>20</v>
      </c>
      <c r="H115">
        <v>2948.1</v>
      </c>
      <c r="I115">
        <v>3186.2455</v>
      </c>
      <c r="J115">
        <v>3262.817</v>
      </c>
      <c r="K115">
        <v>3225.7289999999998</v>
      </c>
      <c r="L115" s="19">
        <v>45672</v>
      </c>
      <c r="M115" s="19">
        <v>45689</v>
      </c>
      <c r="N115" s="19">
        <v>45716</v>
      </c>
      <c r="O115">
        <v>2950</v>
      </c>
      <c r="P115">
        <v>2976.6</v>
      </c>
      <c r="Q115">
        <v>2911.5</v>
      </c>
      <c r="R115">
        <v>2377398</v>
      </c>
      <c r="S115">
        <v>470153.35</v>
      </c>
      <c r="T115" t="s">
        <v>386</v>
      </c>
      <c r="U115">
        <v>34.774999725706579</v>
      </c>
    </row>
    <row r="116" spans="1:21" x14ac:dyDescent="0.25">
      <c r="A116" t="s">
        <v>349</v>
      </c>
      <c r="B116">
        <v>16.9537141765021</v>
      </c>
      <c r="C116">
        <v>-1.324577025823684</v>
      </c>
      <c r="D116" t="s">
        <v>383</v>
      </c>
      <c r="E116">
        <v>33</v>
      </c>
      <c r="F116" t="s">
        <v>383</v>
      </c>
      <c r="G116">
        <v>25</v>
      </c>
      <c r="H116">
        <v>443.25</v>
      </c>
      <c r="I116">
        <v>472.09249999999997</v>
      </c>
      <c r="J116">
        <v>489.47649999999999</v>
      </c>
      <c r="K116">
        <v>490.90899999999999</v>
      </c>
      <c r="L116" s="19">
        <v>45672</v>
      </c>
      <c r="M116" s="19">
        <v>45684</v>
      </c>
      <c r="N116" s="19">
        <v>45716</v>
      </c>
      <c r="O116">
        <v>443.5</v>
      </c>
      <c r="P116">
        <v>451.9</v>
      </c>
      <c r="Q116">
        <v>423.05</v>
      </c>
      <c r="R116">
        <v>18664</v>
      </c>
      <c r="S116">
        <v>15958.45</v>
      </c>
      <c r="T116" t="s">
        <v>386</v>
      </c>
      <c r="U116">
        <v>39.071790770290093</v>
      </c>
    </row>
    <row r="117" spans="1:21" x14ac:dyDescent="0.25">
      <c r="A117" t="s">
        <v>155</v>
      </c>
      <c r="B117">
        <v>71.151586368977675</v>
      </c>
      <c r="C117">
        <v>-3.0266465560583229</v>
      </c>
      <c r="D117" t="s">
        <v>383</v>
      </c>
      <c r="E117">
        <v>33</v>
      </c>
      <c r="F117" t="s">
        <v>383</v>
      </c>
      <c r="G117">
        <v>40</v>
      </c>
      <c r="H117">
        <v>964.4</v>
      </c>
      <c r="I117">
        <v>1466.27575</v>
      </c>
      <c r="J117">
        <v>1336.5360000000001</v>
      </c>
      <c r="K117">
        <v>1290.921</v>
      </c>
      <c r="L117" s="19">
        <v>45672</v>
      </c>
      <c r="M117" s="19">
        <v>45663</v>
      </c>
      <c r="N117" s="19">
        <v>45716</v>
      </c>
      <c r="O117">
        <v>1005.9</v>
      </c>
      <c r="P117">
        <v>1005.9</v>
      </c>
      <c r="Q117">
        <v>945.45</v>
      </c>
      <c r="R117">
        <v>177693</v>
      </c>
      <c r="S117">
        <v>103822</v>
      </c>
      <c r="T117" t="s">
        <v>384</v>
      </c>
      <c r="U117">
        <v>25.610047755136321</v>
      </c>
    </row>
    <row r="118" spans="1:21" x14ac:dyDescent="0.25">
      <c r="A118" t="s">
        <v>196</v>
      </c>
      <c r="B118">
        <v>524.82645744163131</v>
      </c>
      <c r="C118">
        <v>2.3707507377336121</v>
      </c>
      <c r="D118" t="s">
        <v>383</v>
      </c>
      <c r="E118">
        <v>34</v>
      </c>
      <c r="F118" t="s">
        <v>383</v>
      </c>
      <c r="G118">
        <v>2</v>
      </c>
      <c r="H118">
        <v>3070.15</v>
      </c>
      <c r="I118">
        <v>4223.1322500000006</v>
      </c>
      <c r="J118">
        <v>4075.7745</v>
      </c>
      <c r="K118">
        <v>3969.018</v>
      </c>
      <c r="L118" s="19">
        <v>45671</v>
      </c>
      <c r="M118" s="19">
        <v>45715</v>
      </c>
      <c r="N118" s="19">
        <v>45716</v>
      </c>
      <c r="O118">
        <v>2974</v>
      </c>
      <c r="P118">
        <v>3225</v>
      </c>
      <c r="Q118">
        <v>2902.85</v>
      </c>
      <c r="R118">
        <v>5860362</v>
      </c>
      <c r="S118">
        <v>937918.35</v>
      </c>
      <c r="T118" t="s">
        <v>384</v>
      </c>
      <c r="U118">
        <v>32.0060508908022</v>
      </c>
    </row>
    <row r="119" spans="1:21" x14ac:dyDescent="0.25">
      <c r="A119" t="s">
        <v>338</v>
      </c>
      <c r="B119">
        <v>-10.20922162626934</v>
      </c>
      <c r="C119">
        <v>-0.55587229190421572</v>
      </c>
      <c r="D119" t="s">
        <v>383</v>
      </c>
      <c r="E119">
        <v>34</v>
      </c>
      <c r="F119" t="s">
        <v>383</v>
      </c>
      <c r="G119">
        <v>3</v>
      </c>
      <c r="H119">
        <v>348.85</v>
      </c>
      <c r="I119">
        <v>411.40924999999987</v>
      </c>
      <c r="J119">
        <v>409.64400000000001</v>
      </c>
      <c r="K119">
        <v>402.61099999999999</v>
      </c>
      <c r="L119" s="19">
        <v>45671</v>
      </c>
      <c r="M119" s="19">
        <v>45713</v>
      </c>
      <c r="N119" s="19">
        <v>45716</v>
      </c>
      <c r="O119">
        <v>347.85</v>
      </c>
      <c r="P119">
        <v>352</v>
      </c>
      <c r="Q119">
        <v>338.7</v>
      </c>
      <c r="R119">
        <v>551594</v>
      </c>
      <c r="S119">
        <v>614310.30000000005</v>
      </c>
      <c r="T119" t="s">
        <v>384</v>
      </c>
      <c r="U119">
        <v>32.792300083884641</v>
      </c>
    </row>
    <row r="120" spans="1:21" x14ac:dyDescent="0.25">
      <c r="A120" t="s">
        <v>195</v>
      </c>
      <c r="B120">
        <v>-27.658541282060941</v>
      </c>
      <c r="C120">
        <v>6.8850085949515973</v>
      </c>
      <c r="D120" t="s">
        <v>383</v>
      </c>
      <c r="E120">
        <v>34</v>
      </c>
      <c r="F120" t="s">
        <v>385</v>
      </c>
      <c r="G120">
        <v>6</v>
      </c>
      <c r="H120">
        <v>2953.5</v>
      </c>
      <c r="I120">
        <v>2877.6469999999999</v>
      </c>
      <c r="J120">
        <v>2712.721</v>
      </c>
      <c r="K120">
        <v>2628.4169999999999</v>
      </c>
      <c r="L120" s="19">
        <v>45671</v>
      </c>
      <c r="M120" s="19">
        <v>45708</v>
      </c>
      <c r="N120" s="19">
        <v>45716</v>
      </c>
      <c r="O120">
        <v>2735.1</v>
      </c>
      <c r="P120">
        <v>3035.7</v>
      </c>
      <c r="Q120">
        <v>2650</v>
      </c>
      <c r="R120">
        <v>17281</v>
      </c>
      <c r="S120">
        <v>23888.1</v>
      </c>
      <c r="T120" t="s">
        <v>384</v>
      </c>
      <c r="U120">
        <v>63.352742858939813</v>
      </c>
    </row>
    <row r="121" spans="1:21" x14ac:dyDescent="0.25">
      <c r="A121" t="s">
        <v>113</v>
      </c>
      <c r="B121">
        <v>122.4916071969253</v>
      </c>
      <c r="C121">
        <v>-2.7956674473067951</v>
      </c>
      <c r="D121" t="s">
        <v>383</v>
      </c>
      <c r="E121">
        <v>34</v>
      </c>
      <c r="F121" t="s">
        <v>383</v>
      </c>
      <c r="G121">
        <v>13</v>
      </c>
      <c r="H121">
        <v>664.1</v>
      </c>
      <c r="I121">
        <v>800.57500000000005</v>
      </c>
      <c r="J121">
        <v>829.93400000000008</v>
      </c>
      <c r="K121">
        <v>818.73699999999997</v>
      </c>
      <c r="L121" s="19">
        <v>45671</v>
      </c>
      <c r="M121" s="19">
        <v>45699</v>
      </c>
      <c r="N121" s="19">
        <v>45716</v>
      </c>
      <c r="O121">
        <v>683.2</v>
      </c>
      <c r="P121">
        <v>685.45</v>
      </c>
      <c r="Q121">
        <v>657.2</v>
      </c>
      <c r="R121">
        <v>704697</v>
      </c>
      <c r="S121">
        <v>316729.7</v>
      </c>
      <c r="T121" t="s">
        <v>386</v>
      </c>
      <c r="U121">
        <v>22.985609678554141</v>
      </c>
    </row>
    <row r="122" spans="1:21" x14ac:dyDescent="0.25">
      <c r="A122" t="s">
        <v>213</v>
      </c>
      <c r="B122">
        <v>41.690651200496191</v>
      </c>
      <c r="C122">
        <v>1.0813662138995179</v>
      </c>
      <c r="D122" t="s">
        <v>383</v>
      </c>
      <c r="E122">
        <v>34</v>
      </c>
      <c r="F122" t="s">
        <v>383</v>
      </c>
      <c r="G122">
        <v>13</v>
      </c>
      <c r="H122">
        <v>383.25</v>
      </c>
      <c r="I122">
        <v>475.66750000000002</v>
      </c>
      <c r="J122">
        <v>455.291</v>
      </c>
      <c r="K122">
        <v>442.68900000000002</v>
      </c>
      <c r="L122" s="19">
        <v>45671</v>
      </c>
      <c r="M122" s="19">
        <v>45699</v>
      </c>
      <c r="N122" s="19">
        <v>45716</v>
      </c>
      <c r="O122">
        <v>380.05</v>
      </c>
      <c r="P122">
        <v>389.5</v>
      </c>
      <c r="Q122">
        <v>370.05</v>
      </c>
      <c r="R122">
        <v>390639</v>
      </c>
      <c r="S122">
        <v>275698.5</v>
      </c>
      <c r="T122" t="s">
        <v>384</v>
      </c>
      <c r="U122">
        <v>32.937657281068617</v>
      </c>
    </row>
    <row r="123" spans="1:21" x14ac:dyDescent="0.25">
      <c r="A123" t="s">
        <v>316</v>
      </c>
      <c r="B123">
        <v>53.891227736305169</v>
      </c>
      <c r="C123">
        <v>-3.2928679817905921</v>
      </c>
      <c r="D123" t="s">
        <v>383</v>
      </c>
      <c r="E123">
        <v>34</v>
      </c>
      <c r="F123" t="s">
        <v>383</v>
      </c>
      <c r="G123">
        <v>24</v>
      </c>
      <c r="H123">
        <v>1593.25</v>
      </c>
      <c r="I123">
        <v>1732.7092500000001</v>
      </c>
      <c r="J123">
        <v>1794.8054999999999</v>
      </c>
      <c r="K123">
        <v>1763.559</v>
      </c>
      <c r="L123" s="19">
        <v>45671</v>
      </c>
      <c r="M123" s="19">
        <v>45685</v>
      </c>
      <c r="N123" s="19">
        <v>45716</v>
      </c>
      <c r="O123">
        <v>1671</v>
      </c>
      <c r="P123">
        <v>1671</v>
      </c>
      <c r="Q123">
        <v>1586.4</v>
      </c>
      <c r="R123">
        <v>3549979</v>
      </c>
      <c r="S123">
        <v>2306810.5</v>
      </c>
      <c r="T123" t="s">
        <v>386</v>
      </c>
      <c r="U123">
        <v>31.670632002579769</v>
      </c>
    </row>
    <row r="124" spans="1:21" x14ac:dyDescent="0.25">
      <c r="A124" t="s">
        <v>78</v>
      </c>
      <c r="B124">
        <v>2.0425849650065482</v>
      </c>
      <c r="C124">
        <v>-3.5193001304581411</v>
      </c>
      <c r="D124" t="s">
        <v>383</v>
      </c>
      <c r="E124">
        <v>34</v>
      </c>
      <c r="F124" t="s">
        <v>383</v>
      </c>
      <c r="G124">
        <v>40</v>
      </c>
      <c r="H124">
        <v>3143.1</v>
      </c>
      <c r="I124">
        <v>4220.9324999999999</v>
      </c>
      <c r="J124">
        <v>4416.5740000000014</v>
      </c>
      <c r="K124">
        <v>4083.1990000000001</v>
      </c>
      <c r="L124" s="19">
        <v>45671</v>
      </c>
      <c r="M124" s="19">
        <v>45663</v>
      </c>
      <c r="N124" s="19">
        <v>45716</v>
      </c>
      <c r="O124">
        <v>3206.95</v>
      </c>
      <c r="P124">
        <v>3227.4</v>
      </c>
      <c r="Q124">
        <v>3126</v>
      </c>
      <c r="R124">
        <v>586964</v>
      </c>
      <c r="S124">
        <v>575214.75</v>
      </c>
      <c r="T124" t="s">
        <v>386</v>
      </c>
      <c r="U124">
        <v>30.488647450961409</v>
      </c>
    </row>
    <row r="125" spans="1:21" x14ac:dyDescent="0.25">
      <c r="A125" t="s">
        <v>45</v>
      </c>
      <c r="B125">
        <v>108.5764526426737</v>
      </c>
      <c r="C125">
        <v>-6.3075401354332996</v>
      </c>
      <c r="D125" t="s">
        <v>383</v>
      </c>
      <c r="E125">
        <v>35</v>
      </c>
      <c r="F125" t="s">
        <v>383</v>
      </c>
      <c r="G125">
        <v>1</v>
      </c>
      <c r="H125">
        <v>615.70000000000005</v>
      </c>
      <c r="I125">
        <v>678.84474999999986</v>
      </c>
      <c r="J125">
        <v>694.27800000000002</v>
      </c>
      <c r="K125">
        <v>677.77599999999995</v>
      </c>
      <c r="L125" s="19">
        <v>45670</v>
      </c>
      <c r="M125" s="19">
        <v>45716</v>
      </c>
      <c r="N125" s="19">
        <v>45716</v>
      </c>
      <c r="O125">
        <v>650</v>
      </c>
      <c r="P125">
        <v>652.54999999999995</v>
      </c>
      <c r="Q125">
        <v>608.79999999999995</v>
      </c>
      <c r="R125">
        <v>316822</v>
      </c>
      <c r="S125">
        <v>151897.29999999999</v>
      </c>
      <c r="T125" t="s">
        <v>384</v>
      </c>
      <c r="U125">
        <v>38.585391563232342</v>
      </c>
    </row>
    <row r="126" spans="1:21" x14ac:dyDescent="0.25">
      <c r="A126" t="s">
        <v>267</v>
      </c>
      <c r="B126">
        <v>582.51712977345483</v>
      </c>
      <c r="C126">
        <v>0.72336015215137039</v>
      </c>
      <c r="D126" t="s">
        <v>383</v>
      </c>
      <c r="E126">
        <v>35</v>
      </c>
      <c r="F126" t="s">
        <v>383</v>
      </c>
      <c r="G126">
        <v>2</v>
      </c>
      <c r="H126">
        <v>4713.3999999999996</v>
      </c>
      <c r="I126">
        <v>6670.2520000000004</v>
      </c>
      <c r="J126">
        <v>6604.6840000000002</v>
      </c>
      <c r="K126">
        <v>6240.4459999999999</v>
      </c>
      <c r="L126" s="19">
        <v>45670</v>
      </c>
      <c r="M126" s="19">
        <v>45715</v>
      </c>
      <c r="N126" s="19">
        <v>45716</v>
      </c>
      <c r="O126">
        <v>4650</v>
      </c>
      <c r="P126">
        <v>4907</v>
      </c>
      <c r="Q126">
        <v>4555</v>
      </c>
      <c r="R126">
        <v>6042777</v>
      </c>
      <c r="S126">
        <v>885366.35</v>
      </c>
      <c r="T126" t="s">
        <v>384</v>
      </c>
      <c r="U126">
        <v>27.07900622533613</v>
      </c>
    </row>
    <row r="127" spans="1:21" x14ac:dyDescent="0.25">
      <c r="A127" t="s">
        <v>181</v>
      </c>
      <c r="B127">
        <v>145.4157583575861</v>
      </c>
      <c r="C127">
        <v>-0.67865429234339014</v>
      </c>
      <c r="D127" t="s">
        <v>383</v>
      </c>
      <c r="E127">
        <v>35</v>
      </c>
      <c r="F127" t="s">
        <v>385</v>
      </c>
      <c r="G127">
        <v>8</v>
      </c>
      <c r="H127">
        <v>856.15</v>
      </c>
      <c r="I127">
        <v>954.26900000000012</v>
      </c>
      <c r="J127">
        <v>906.12700000000007</v>
      </c>
      <c r="K127">
        <v>880.45799999999986</v>
      </c>
      <c r="L127" s="19">
        <v>45670</v>
      </c>
      <c r="M127" s="19">
        <v>45706</v>
      </c>
      <c r="N127" s="19">
        <v>45716</v>
      </c>
      <c r="O127">
        <v>850</v>
      </c>
      <c r="P127">
        <v>866.2</v>
      </c>
      <c r="Q127">
        <v>842.4</v>
      </c>
      <c r="R127">
        <v>7714704</v>
      </c>
      <c r="S127">
        <v>3143524.3</v>
      </c>
      <c r="T127" t="s">
        <v>384</v>
      </c>
      <c r="U127">
        <v>49.414979080982597</v>
      </c>
    </row>
    <row r="128" spans="1:21" x14ac:dyDescent="0.25">
      <c r="A128" t="s">
        <v>135</v>
      </c>
      <c r="B128">
        <v>83.404481005240569</v>
      </c>
      <c r="C128">
        <v>-2.2969114975343952</v>
      </c>
      <c r="D128" t="s">
        <v>383</v>
      </c>
      <c r="E128">
        <v>35</v>
      </c>
      <c r="F128" t="s">
        <v>383</v>
      </c>
      <c r="G128">
        <v>12</v>
      </c>
      <c r="H128">
        <v>752.9</v>
      </c>
      <c r="I128">
        <v>798.73980000000006</v>
      </c>
      <c r="J128">
        <v>836.78369999999995</v>
      </c>
      <c r="K128">
        <v>810.31640000000004</v>
      </c>
      <c r="L128" s="19">
        <v>45670</v>
      </c>
      <c r="M128" s="19">
        <v>45700</v>
      </c>
      <c r="N128" s="19">
        <v>45716</v>
      </c>
      <c r="O128">
        <v>759.05</v>
      </c>
      <c r="P128">
        <v>774.95</v>
      </c>
      <c r="Q128">
        <v>735.9</v>
      </c>
      <c r="R128">
        <v>123627</v>
      </c>
      <c r="S128">
        <v>67406.75</v>
      </c>
      <c r="T128" t="s">
        <v>384</v>
      </c>
      <c r="U128">
        <v>44.947017463823563</v>
      </c>
    </row>
    <row r="129" spans="1:21" x14ac:dyDescent="0.25">
      <c r="A129" t="s">
        <v>143</v>
      </c>
      <c r="B129">
        <v>68.46700528923617</v>
      </c>
      <c r="C129">
        <v>-4.7225790664953813</v>
      </c>
      <c r="D129" t="s">
        <v>383</v>
      </c>
      <c r="E129">
        <v>35</v>
      </c>
      <c r="F129" t="s">
        <v>383</v>
      </c>
      <c r="G129">
        <v>13</v>
      </c>
      <c r="H129">
        <v>155.75</v>
      </c>
      <c r="I129">
        <v>198.15565000000001</v>
      </c>
      <c r="J129">
        <v>192.1995</v>
      </c>
      <c r="K129">
        <v>186.5548</v>
      </c>
      <c r="L129" s="19">
        <v>45670</v>
      </c>
      <c r="M129" s="19">
        <v>45699</v>
      </c>
      <c r="N129" s="19">
        <v>45716</v>
      </c>
      <c r="O129">
        <v>163</v>
      </c>
      <c r="P129">
        <v>164.45</v>
      </c>
      <c r="Q129">
        <v>155</v>
      </c>
      <c r="R129">
        <v>2287453</v>
      </c>
      <c r="S129">
        <v>1357804.75</v>
      </c>
      <c r="T129" t="s">
        <v>384</v>
      </c>
      <c r="U129">
        <v>30.126245752388972</v>
      </c>
    </row>
    <row r="130" spans="1:21" x14ac:dyDescent="0.25">
      <c r="A130" t="s">
        <v>328</v>
      </c>
      <c r="B130">
        <v>-27.696610236905261</v>
      </c>
      <c r="C130">
        <v>-2.4940805051302219</v>
      </c>
      <c r="D130" t="s">
        <v>383</v>
      </c>
      <c r="E130">
        <v>35</v>
      </c>
      <c r="F130" t="s">
        <v>383</v>
      </c>
      <c r="G130">
        <v>13</v>
      </c>
      <c r="H130">
        <v>308.85000000000002</v>
      </c>
      <c r="I130">
        <v>396.26774999999998</v>
      </c>
      <c r="J130">
        <v>405.1225</v>
      </c>
      <c r="K130">
        <v>385.34500000000003</v>
      </c>
      <c r="L130" s="19">
        <v>45670</v>
      </c>
      <c r="M130" s="19">
        <v>45699</v>
      </c>
      <c r="N130" s="19">
        <v>45716</v>
      </c>
      <c r="O130">
        <v>315.95</v>
      </c>
      <c r="P130">
        <v>316.7</v>
      </c>
      <c r="Q130">
        <v>301.14999999999998</v>
      </c>
      <c r="R130">
        <v>548082</v>
      </c>
      <c r="S130">
        <v>758030.85</v>
      </c>
      <c r="T130" t="s">
        <v>384</v>
      </c>
      <c r="U130">
        <v>32.429983522819263</v>
      </c>
    </row>
    <row r="131" spans="1:21" x14ac:dyDescent="0.25">
      <c r="A131" t="s">
        <v>203</v>
      </c>
      <c r="B131">
        <v>17.347154643537131</v>
      </c>
      <c r="C131">
        <v>-0.26685115635500789</v>
      </c>
      <c r="D131" t="s">
        <v>383</v>
      </c>
      <c r="E131">
        <v>35</v>
      </c>
      <c r="F131" t="s">
        <v>383</v>
      </c>
      <c r="G131">
        <v>14</v>
      </c>
      <c r="H131">
        <v>1513.65</v>
      </c>
      <c r="K131">
        <v>1956.9349999999999</v>
      </c>
      <c r="L131" s="19">
        <v>45670</v>
      </c>
      <c r="M131" s="19">
        <v>45698</v>
      </c>
      <c r="N131" s="19">
        <v>45716</v>
      </c>
      <c r="O131">
        <v>1548.05</v>
      </c>
      <c r="P131">
        <v>1550</v>
      </c>
      <c r="Q131">
        <v>1480.05</v>
      </c>
      <c r="R131">
        <v>11094</v>
      </c>
      <c r="S131">
        <v>9454</v>
      </c>
      <c r="U131">
        <v>25.586361166937461</v>
      </c>
    </row>
    <row r="132" spans="1:21" x14ac:dyDescent="0.25">
      <c r="A132" t="s">
        <v>347</v>
      </c>
      <c r="B132">
        <v>303.46570705764259</v>
      </c>
      <c r="C132">
        <v>-2.732545170644658</v>
      </c>
      <c r="D132" t="s">
        <v>383</v>
      </c>
      <c r="E132">
        <v>35</v>
      </c>
      <c r="F132" t="s">
        <v>383</v>
      </c>
      <c r="G132">
        <v>14</v>
      </c>
      <c r="H132">
        <v>436.05</v>
      </c>
      <c r="I132">
        <v>602.23305000000005</v>
      </c>
      <c r="J132">
        <v>584.87750000000005</v>
      </c>
      <c r="K132">
        <v>558.03099999999995</v>
      </c>
      <c r="L132" s="19">
        <v>45670</v>
      </c>
      <c r="M132" s="19">
        <v>45698</v>
      </c>
      <c r="N132" s="19">
        <v>45716</v>
      </c>
      <c r="O132">
        <v>448</v>
      </c>
      <c r="P132">
        <v>456.6</v>
      </c>
      <c r="Q132">
        <v>429.65</v>
      </c>
      <c r="R132">
        <v>48247867</v>
      </c>
      <c r="S132">
        <v>11958356.35</v>
      </c>
      <c r="T132" t="s">
        <v>384</v>
      </c>
      <c r="U132">
        <v>28.92839533918065</v>
      </c>
    </row>
    <row r="133" spans="1:21" x14ac:dyDescent="0.25">
      <c r="A133" t="s">
        <v>154</v>
      </c>
      <c r="B133">
        <v>-25.038753416865131</v>
      </c>
      <c r="C133">
        <v>-4.6920990361863124</v>
      </c>
      <c r="D133" t="s">
        <v>383</v>
      </c>
      <c r="E133">
        <v>35</v>
      </c>
      <c r="F133" t="s">
        <v>383</v>
      </c>
      <c r="G133">
        <v>27</v>
      </c>
      <c r="H133">
        <v>165.14</v>
      </c>
      <c r="I133">
        <v>247.86590000000001</v>
      </c>
      <c r="J133">
        <v>218.48240000000001</v>
      </c>
      <c r="K133">
        <v>212.89340000000001</v>
      </c>
      <c r="L133" s="19">
        <v>45670</v>
      </c>
      <c r="M133" s="19">
        <v>45680</v>
      </c>
      <c r="N133" s="19">
        <v>45716</v>
      </c>
      <c r="O133">
        <v>171</v>
      </c>
      <c r="P133">
        <v>172.7</v>
      </c>
      <c r="Q133">
        <v>163.69999999999999</v>
      </c>
      <c r="R133">
        <v>8036878</v>
      </c>
      <c r="S133">
        <v>10721377.199999999</v>
      </c>
      <c r="T133" t="s">
        <v>384</v>
      </c>
      <c r="U133">
        <v>27.458722831102151</v>
      </c>
    </row>
    <row r="134" spans="1:21" x14ac:dyDescent="0.25">
      <c r="A134" t="s">
        <v>277</v>
      </c>
      <c r="B134">
        <v>138.51092613238271</v>
      </c>
      <c r="C134">
        <v>-6.8209101822547202</v>
      </c>
      <c r="D134" t="s">
        <v>383</v>
      </c>
      <c r="E134">
        <v>35</v>
      </c>
      <c r="F134" t="s">
        <v>383</v>
      </c>
      <c r="G134">
        <v>36</v>
      </c>
      <c r="H134">
        <v>426.9</v>
      </c>
      <c r="I134">
        <v>609.56624999999997</v>
      </c>
      <c r="J134">
        <v>584.61249999999995</v>
      </c>
      <c r="K134">
        <v>551.851</v>
      </c>
      <c r="L134" s="19">
        <v>45670</v>
      </c>
      <c r="M134" s="19">
        <v>45667</v>
      </c>
      <c r="N134" s="19">
        <v>45716</v>
      </c>
      <c r="O134">
        <v>455.45</v>
      </c>
      <c r="P134">
        <v>455.45</v>
      </c>
      <c r="Q134">
        <v>420</v>
      </c>
      <c r="R134">
        <v>108252</v>
      </c>
      <c r="S134">
        <v>45386.6</v>
      </c>
      <c r="T134" t="s">
        <v>384</v>
      </c>
      <c r="U134">
        <v>27.969741365352078</v>
      </c>
    </row>
    <row r="135" spans="1:21" x14ac:dyDescent="0.25">
      <c r="A135" t="s">
        <v>354</v>
      </c>
      <c r="B135">
        <v>234.72879548531651</v>
      </c>
      <c r="C135">
        <v>0.56755418428368698</v>
      </c>
      <c r="D135" t="s">
        <v>383</v>
      </c>
      <c r="E135">
        <v>35</v>
      </c>
      <c r="F135" t="s">
        <v>383</v>
      </c>
      <c r="G135">
        <v>37</v>
      </c>
      <c r="H135">
        <v>1320.1</v>
      </c>
      <c r="I135">
        <v>1601.12275</v>
      </c>
      <c r="J135">
        <v>1617.5115000000001</v>
      </c>
      <c r="K135">
        <v>1495.7</v>
      </c>
      <c r="L135" s="19">
        <v>45670</v>
      </c>
      <c r="M135" s="19">
        <v>45666</v>
      </c>
      <c r="N135" s="19">
        <v>45716</v>
      </c>
      <c r="O135">
        <v>1310</v>
      </c>
      <c r="P135">
        <v>1335.55</v>
      </c>
      <c r="Q135">
        <v>1283.0999999999999</v>
      </c>
      <c r="R135">
        <v>8031830</v>
      </c>
      <c r="S135">
        <v>2399503.75</v>
      </c>
      <c r="T135" t="s">
        <v>386</v>
      </c>
      <c r="U135">
        <v>45.200218962276672</v>
      </c>
    </row>
    <row r="136" spans="1:21" x14ac:dyDescent="0.25">
      <c r="A136" t="s">
        <v>329</v>
      </c>
      <c r="B136">
        <v>-2.079865939537985</v>
      </c>
      <c r="C136">
        <v>2.4668630338733362</v>
      </c>
      <c r="D136" t="s">
        <v>383</v>
      </c>
      <c r="E136">
        <v>35</v>
      </c>
      <c r="F136" t="s">
        <v>383</v>
      </c>
      <c r="G136">
        <v>38</v>
      </c>
      <c r="H136">
        <v>974.05</v>
      </c>
      <c r="I136">
        <v>1451.2302500000001</v>
      </c>
      <c r="J136">
        <v>1391.442</v>
      </c>
      <c r="K136">
        <v>1233.29</v>
      </c>
      <c r="L136" s="19">
        <v>45670</v>
      </c>
      <c r="M136" s="19">
        <v>45665</v>
      </c>
      <c r="N136" s="19">
        <v>45716</v>
      </c>
      <c r="O136">
        <v>940.15</v>
      </c>
      <c r="P136">
        <v>994.95</v>
      </c>
      <c r="Q136">
        <v>911.9</v>
      </c>
      <c r="R136">
        <v>472142</v>
      </c>
      <c r="S136">
        <v>482170.5</v>
      </c>
      <c r="T136" t="s">
        <v>384</v>
      </c>
      <c r="U136">
        <v>39.282733937073267</v>
      </c>
    </row>
    <row r="137" spans="1:21" x14ac:dyDescent="0.25">
      <c r="A137" t="s">
        <v>24</v>
      </c>
      <c r="B137">
        <v>-8.8236112946112613</v>
      </c>
      <c r="C137">
        <v>-2.3868051700895969</v>
      </c>
      <c r="D137" t="s">
        <v>383</v>
      </c>
      <c r="E137">
        <v>35</v>
      </c>
      <c r="F137" t="s">
        <v>383</v>
      </c>
      <c r="G137">
        <v>40</v>
      </c>
      <c r="H137">
        <v>615.5</v>
      </c>
      <c r="I137">
        <v>716.23625000000004</v>
      </c>
      <c r="J137">
        <v>760.0575</v>
      </c>
      <c r="K137">
        <v>719.81899999999996</v>
      </c>
      <c r="L137" s="19">
        <v>45670</v>
      </c>
      <c r="M137" s="19">
        <v>45663</v>
      </c>
      <c r="N137" s="19">
        <v>45716</v>
      </c>
      <c r="O137">
        <v>605.04999999999995</v>
      </c>
      <c r="P137">
        <v>634.65</v>
      </c>
      <c r="Q137">
        <v>605.04999999999995</v>
      </c>
      <c r="R137">
        <v>283287</v>
      </c>
      <c r="S137">
        <v>310702.15000000002</v>
      </c>
      <c r="T137" t="s">
        <v>386</v>
      </c>
      <c r="U137">
        <v>33.073594305185068</v>
      </c>
    </row>
    <row r="138" spans="1:21" x14ac:dyDescent="0.25">
      <c r="A138" t="s">
        <v>115</v>
      </c>
      <c r="B138">
        <v>-32.907227499483241</v>
      </c>
      <c r="C138">
        <v>-5.3148931306435019</v>
      </c>
      <c r="D138" t="s">
        <v>383</v>
      </c>
      <c r="E138">
        <v>35</v>
      </c>
      <c r="F138" t="s">
        <v>383</v>
      </c>
      <c r="G138">
        <v>40</v>
      </c>
      <c r="H138">
        <v>414.2</v>
      </c>
      <c r="I138">
        <v>599.31515000000002</v>
      </c>
      <c r="J138">
        <v>576.65350000000001</v>
      </c>
      <c r="K138">
        <v>544.06399999999996</v>
      </c>
      <c r="L138" s="19">
        <v>45670</v>
      </c>
      <c r="M138" s="19">
        <v>45663</v>
      </c>
      <c r="N138" s="19">
        <v>45716</v>
      </c>
      <c r="O138">
        <v>437</v>
      </c>
      <c r="P138">
        <v>437</v>
      </c>
      <c r="Q138">
        <v>410.95</v>
      </c>
      <c r="R138">
        <v>347956</v>
      </c>
      <c r="S138">
        <v>518619.2</v>
      </c>
      <c r="T138" t="s">
        <v>384</v>
      </c>
      <c r="U138">
        <v>29.804359425688691</v>
      </c>
    </row>
    <row r="139" spans="1:21" x14ac:dyDescent="0.25">
      <c r="A139" t="s">
        <v>222</v>
      </c>
      <c r="B139">
        <v>35.381225120124697</v>
      </c>
      <c r="C139">
        <v>-2.287930743718031</v>
      </c>
      <c r="D139" t="s">
        <v>383</v>
      </c>
      <c r="E139">
        <v>35</v>
      </c>
      <c r="F139" t="s">
        <v>383</v>
      </c>
      <c r="G139">
        <v>40</v>
      </c>
      <c r="H139">
        <v>869.1</v>
      </c>
      <c r="I139">
        <v>1100.1152500000001</v>
      </c>
      <c r="J139">
        <v>1041.6524999999999</v>
      </c>
      <c r="K139">
        <v>1001.405</v>
      </c>
      <c r="L139" s="19">
        <v>45670</v>
      </c>
      <c r="M139" s="19">
        <v>45663</v>
      </c>
      <c r="N139" s="19">
        <v>45716</v>
      </c>
      <c r="O139">
        <v>885</v>
      </c>
      <c r="P139">
        <v>886</v>
      </c>
      <c r="Q139">
        <v>860.95</v>
      </c>
      <c r="R139">
        <v>46813</v>
      </c>
      <c r="S139">
        <v>34578.65</v>
      </c>
      <c r="T139" t="s">
        <v>384</v>
      </c>
      <c r="U139">
        <v>36.835380288242661</v>
      </c>
    </row>
    <row r="140" spans="1:21" x14ac:dyDescent="0.25">
      <c r="A140" t="s">
        <v>249</v>
      </c>
      <c r="B140">
        <v>-4.2469637335629207</v>
      </c>
      <c r="C140">
        <v>-2.1260368004576389</v>
      </c>
      <c r="D140" t="s">
        <v>383</v>
      </c>
      <c r="E140">
        <v>35</v>
      </c>
      <c r="F140" t="s">
        <v>383</v>
      </c>
      <c r="G140">
        <v>40</v>
      </c>
      <c r="H140">
        <v>513.29999999999995</v>
      </c>
      <c r="I140">
        <v>659.27099999999996</v>
      </c>
      <c r="J140">
        <v>667.53199999999993</v>
      </c>
      <c r="K140">
        <v>628.50300000000004</v>
      </c>
      <c r="L140" s="19">
        <v>45670</v>
      </c>
      <c r="M140" s="19">
        <v>45663</v>
      </c>
      <c r="N140" s="19">
        <v>45716</v>
      </c>
      <c r="O140">
        <v>520</v>
      </c>
      <c r="P140">
        <v>524.35</v>
      </c>
      <c r="Q140">
        <v>509.05</v>
      </c>
      <c r="R140">
        <v>1022439</v>
      </c>
      <c r="S140">
        <v>1067787.55</v>
      </c>
      <c r="T140" t="s">
        <v>384</v>
      </c>
      <c r="U140">
        <v>34.107562829346108</v>
      </c>
    </row>
    <row r="141" spans="1:21" x14ac:dyDescent="0.25">
      <c r="A141" t="s">
        <v>207</v>
      </c>
      <c r="B141">
        <v>29.023357962289548</v>
      </c>
      <c r="C141">
        <v>-4.0363843092666416</v>
      </c>
      <c r="D141" t="s">
        <v>383</v>
      </c>
      <c r="E141">
        <v>36</v>
      </c>
      <c r="F141" t="s">
        <v>383</v>
      </c>
      <c r="G141">
        <v>10</v>
      </c>
      <c r="H141">
        <v>253.2</v>
      </c>
      <c r="I141">
        <v>292.42475000000002</v>
      </c>
      <c r="J141">
        <v>287.74900000000002</v>
      </c>
      <c r="K141">
        <v>282.59699999999998</v>
      </c>
      <c r="L141" s="19">
        <v>45667</v>
      </c>
      <c r="M141" s="19">
        <v>45702</v>
      </c>
      <c r="N141" s="19">
        <v>45716</v>
      </c>
      <c r="O141">
        <v>261.05</v>
      </c>
      <c r="P141">
        <v>264.85000000000002</v>
      </c>
      <c r="Q141">
        <v>250.75</v>
      </c>
      <c r="R141">
        <v>444258</v>
      </c>
      <c r="S141">
        <v>344323.7</v>
      </c>
      <c r="T141" t="s">
        <v>384</v>
      </c>
      <c r="U141">
        <v>34.242607792174041</v>
      </c>
    </row>
    <row r="142" spans="1:21" x14ac:dyDescent="0.25">
      <c r="A142" t="s">
        <v>61</v>
      </c>
      <c r="B142">
        <v>2.9776479872577388</v>
      </c>
      <c r="C142">
        <v>-2.313914200880518</v>
      </c>
      <c r="D142" t="s">
        <v>383</v>
      </c>
      <c r="E142">
        <v>36</v>
      </c>
      <c r="F142" t="s">
        <v>383</v>
      </c>
      <c r="G142">
        <v>12</v>
      </c>
      <c r="H142">
        <v>477.05</v>
      </c>
      <c r="I142">
        <v>612.197</v>
      </c>
      <c r="J142">
        <v>709.41399999999999</v>
      </c>
      <c r="K142">
        <v>649.42099999999994</v>
      </c>
      <c r="L142" s="19">
        <v>45667</v>
      </c>
      <c r="M142" s="19">
        <v>45700</v>
      </c>
      <c r="N142" s="19">
        <v>45716</v>
      </c>
      <c r="O142">
        <v>484.4</v>
      </c>
      <c r="P142">
        <v>498.6</v>
      </c>
      <c r="Q142">
        <v>458.95</v>
      </c>
      <c r="R142">
        <v>926796</v>
      </c>
      <c r="S142">
        <v>899997.25</v>
      </c>
      <c r="U142">
        <v>31.38667593604492</v>
      </c>
    </row>
    <row r="143" spans="1:21" x14ac:dyDescent="0.25">
      <c r="A143" t="s">
        <v>178</v>
      </c>
      <c r="B143">
        <v>-6.2728163283276546</v>
      </c>
      <c r="C143">
        <v>0.33544539694371972</v>
      </c>
      <c r="D143" t="s">
        <v>383</v>
      </c>
      <c r="E143">
        <v>36</v>
      </c>
      <c r="F143" t="s">
        <v>383</v>
      </c>
      <c r="G143">
        <v>12</v>
      </c>
      <c r="H143">
        <v>673</v>
      </c>
      <c r="I143">
        <v>767.03075000000013</v>
      </c>
      <c r="J143">
        <v>733.58350000000007</v>
      </c>
      <c r="K143">
        <v>721.33800000000008</v>
      </c>
      <c r="L143" s="19">
        <v>45667</v>
      </c>
      <c r="M143" s="19">
        <v>45700</v>
      </c>
      <c r="N143" s="19">
        <v>45716</v>
      </c>
      <c r="O143">
        <v>664.7</v>
      </c>
      <c r="P143">
        <v>678.9</v>
      </c>
      <c r="Q143">
        <v>650.29999999999995</v>
      </c>
      <c r="R143">
        <v>140503</v>
      </c>
      <c r="S143">
        <v>149906.35</v>
      </c>
      <c r="T143" t="s">
        <v>384</v>
      </c>
      <c r="U143">
        <v>41.479468243587213</v>
      </c>
    </row>
    <row r="144" spans="1:21" x14ac:dyDescent="0.25">
      <c r="A144" t="s">
        <v>81</v>
      </c>
      <c r="B144">
        <v>-46.31324416148879</v>
      </c>
      <c r="C144">
        <v>-2.8029285621453131</v>
      </c>
      <c r="D144" t="s">
        <v>383</v>
      </c>
      <c r="E144">
        <v>36</v>
      </c>
      <c r="F144" t="s">
        <v>383</v>
      </c>
      <c r="G144">
        <v>21</v>
      </c>
      <c r="H144">
        <v>1121.8</v>
      </c>
      <c r="I144">
        <v>1180.7625</v>
      </c>
      <c r="J144">
        <v>1330.883</v>
      </c>
      <c r="K144">
        <v>1268.1420000000001</v>
      </c>
      <c r="L144" s="19">
        <v>45667</v>
      </c>
      <c r="M144" s="19">
        <v>45688</v>
      </c>
      <c r="N144" s="19">
        <v>45716</v>
      </c>
      <c r="O144">
        <v>1142.8</v>
      </c>
      <c r="P144">
        <v>1150.0999999999999</v>
      </c>
      <c r="Q144">
        <v>1111</v>
      </c>
      <c r="R144">
        <v>22802</v>
      </c>
      <c r="S144">
        <v>42472.3</v>
      </c>
      <c r="T144" t="s">
        <v>386</v>
      </c>
      <c r="U144">
        <v>36.386598905355577</v>
      </c>
    </row>
    <row r="145" spans="1:21" x14ac:dyDescent="0.25">
      <c r="A145" t="s">
        <v>345</v>
      </c>
      <c r="B145">
        <v>-21.60095587156362</v>
      </c>
      <c r="C145">
        <v>-4.1023288997604848</v>
      </c>
      <c r="D145" t="s">
        <v>383</v>
      </c>
      <c r="E145">
        <v>36</v>
      </c>
      <c r="F145" t="s">
        <v>383</v>
      </c>
      <c r="G145">
        <v>38</v>
      </c>
      <c r="H145">
        <v>940.9</v>
      </c>
      <c r="I145">
        <v>1144.9137499999999</v>
      </c>
      <c r="J145">
        <v>1213.2494999999999</v>
      </c>
      <c r="K145">
        <v>1131.1949999999999</v>
      </c>
      <c r="L145" s="19">
        <v>45667</v>
      </c>
      <c r="M145" s="19">
        <v>45665</v>
      </c>
      <c r="N145" s="19">
        <v>45716</v>
      </c>
      <c r="O145">
        <v>970.25</v>
      </c>
      <c r="P145">
        <v>974.3</v>
      </c>
      <c r="Q145">
        <v>934.55</v>
      </c>
      <c r="R145">
        <v>97241</v>
      </c>
      <c r="S145">
        <v>124033.4</v>
      </c>
      <c r="T145" t="s">
        <v>386</v>
      </c>
      <c r="U145">
        <v>35.511434224121743</v>
      </c>
    </row>
    <row r="146" spans="1:21" x14ac:dyDescent="0.25">
      <c r="A146" t="s">
        <v>346</v>
      </c>
      <c r="B146">
        <v>48.554489855023093</v>
      </c>
      <c r="C146">
        <v>-2.0845562639072779</v>
      </c>
      <c r="D146" t="s">
        <v>383</v>
      </c>
      <c r="E146">
        <v>37</v>
      </c>
      <c r="F146" t="s">
        <v>383</v>
      </c>
      <c r="G146">
        <v>1</v>
      </c>
      <c r="H146">
        <v>3586.3</v>
      </c>
      <c r="I146">
        <v>4050.4164999999998</v>
      </c>
      <c r="J146">
        <v>3811.796499999999</v>
      </c>
      <c r="K146">
        <v>3771.5120000000002</v>
      </c>
      <c r="L146" s="19">
        <v>45666</v>
      </c>
      <c r="M146" s="19">
        <v>45716</v>
      </c>
      <c r="N146" s="19">
        <v>45716</v>
      </c>
      <c r="O146">
        <v>3660</v>
      </c>
      <c r="P146">
        <v>3660</v>
      </c>
      <c r="Q146">
        <v>3503.5</v>
      </c>
      <c r="R146">
        <v>8720</v>
      </c>
      <c r="S146">
        <v>5869.9</v>
      </c>
      <c r="T146" t="s">
        <v>384</v>
      </c>
      <c r="U146">
        <v>42.448768719856943</v>
      </c>
    </row>
    <row r="147" spans="1:21" x14ac:dyDescent="0.25">
      <c r="A147" t="s">
        <v>307</v>
      </c>
      <c r="B147">
        <v>53.580470153067928</v>
      </c>
      <c r="C147">
        <v>-2.0532585844428839</v>
      </c>
      <c r="D147" t="s">
        <v>385</v>
      </c>
      <c r="E147">
        <v>37</v>
      </c>
      <c r="F147" t="s">
        <v>385</v>
      </c>
      <c r="G147">
        <v>2</v>
      </c>
      <c r="H147">
        <v>2795.4</v>
      </c>
      <c r="I147">
        <v>2434.8292499999998</v>
      </c>
      <c r="J147">
        <v>2442.5700000000002</v>
      </c>
      <c r="K147">
        <v>2608.0100000000002</v>
      </c>
      <c r="L147" s="19">
        <v>45666</v>
      </c>
      <c r="M147" s="19">
        <v>45715</v>
      </c>
      <c r="N147" s="19">
        <v>45716</v>
      </c>
      <c r="O147">
        <v>2826.1</v>
      </c>
      <c r="P147">
        <v>2831</v>
      </c>
      <c r="Q147">
        <v>2759.05</v>
      </c>
      <c r="R147">
        <v>1004086</v>
      </c>
      <c r="S147">
        <v>653784.94999999995</v>
      </c>
      <c r="T147" t="s">
        <v>386</v>
      </c>
      <c r="U147">
        <v>54.910050145818403</v>
      </c>
    </row>
    <row r="148" spans="1:21" x14ac:dyDescent="0.25">
      <c r="A148" t="s">
        <v>164</v>
      </c>
      <c r="B148">
        <v>120.194952360702</v>
      </c>
      <c r="C148">
        <v>-1.5010838889116229</v>
      </c>
      <c r="D148" t="s">
        <v>383</v>
      </c>
      <c r="E148">
        <v>37</v>
      </c>
      <c r="F148" t="s">
        <v>383</v>
      </c>
      <c r="G148">
        <v>8</v>
      </c>
      <c r="H148">
        <v>1204.0999999999999</v>
      </c>
      <c r="I148">
        <v>1235.0407499999999</v>
      </c>
      <c r="J148">
        <v>1269.0050000000001</v>
      </c>
      <c r="K148">
        <v>1252.7650000000001</v>
      </c>
      <c r="L148" s="19">
        <v>45666</v>
      </c>
      <c r="M148" s="19">
        <v>45706</v>
      </c>
      <c r="N148" s="19">
        <v>45716</v>
      </c>
      <c r="O148">
        <v>1216</v>
      </c>
      <c r="P148">
        <v>1225</v>
      </c>
      <c r="Q148">
        <v>1200.0999999999999</v>
      </c>
      <c r="R148">
        <v>20215075</v>
      </c>
      <c r="S148">
        <v>9180535.1500000004</v>
      </c>
      <c r="T148" t="s">
        <v>386</v>
      </c>
      <c r="U148">
        <v>34.769932561484339</v>
      </c>
    </row>
    <row r="149" spans="1:21" x14ac:dyDescent="0.25">
      <c r="A149" t="s">
        <v>83</v>
      </c>
      <c r="B149">
        <v>17.191665675297649</v>
      </c>
      <c r="C149">
        <v>8.6184607429230734E-3</v>
      </c>
      <c r="D149" t="s">
        <v>383</v>
      </c>
      <c r="E149">
        <v>37</v>
      </c>
      <c r="F149" t="s">
        <v>383</v>
      </c>
      <c r="G149">
        <v>13</v>
      </c>
      <c r="H149">
        <v>580.20000000000005</v>
      </c>
      <c r="I149">
        <v>665.09974999999986</v>
      </c>
      <c r="J149">
        <v>682.71449999999993</v>
      </c>
      <c r="K149">
        <v>650.99899999999991</v>
      </c>
      <c r="L149" s="19">
        <v>45666</v>
      </c>
      <c r="M149" s="19">
        <v>45699</v>
      </c>
      <c r="N149" s="19">
        <v>45716</v>
      </c>
      <c r="O149">
        <v>575.9</v>
      </c>
      <c r="P149">
        <v>589.65</v>
      </c>
      <c r="Q149">
        <v>566.15</v>
      </c>
      <c r="R149">
        <v>247260</v>
      </c>
      <c r="S149">
        <v>210987.7</v>
      </c>
      <c r="T149" t="s">
        <v>386</v>
      </c>
      <c r="U149">
        <v>31.752070033021159</v>
      </c>
    </row>
    <row r="150" spans="1:21" x14ac:dyDescent="0.25">
      <c r="A150" t="s">
        <v>122</v>
      </c>
      <c r="B150">
        <v>142.88447739775171</v>
      </c>
      <c r="C150">
        <v>-2.631189948263112</v>
      </c>
      <c r="D150" t="s">
        <v>383</v>
      </c>
      <c r="E150">
        <v>37</v>
      </c>
      <c r="F150" t="s">
        <v>383</v>
      </c>
      <c r="G150">
        <v>13</v>
      </c>
      <c r="H150">
        <v>329.35</v>
      </c>
      <c r="I150">
        <v>437.94875000000002</v>
      </c>
      <c r="J150">
        <v>407.37900000000002</v>
      </c>
      <c r="K150">
        <v>396.41199999999998</v>
      </c>
      <c r="L150" s="19">
        <v>45666</v>
      </c>
      <c r="M150" s="19">
        <v>45699</v>
      </c>
      <c r="N150" s="19">
        <v>45716</v>
      </c>
      <c r="O150">
        <v>335</v>
      </c>
      <c r="P150">
        <v>340</v>
      </c>
      <c r="Q150">
        <v>319</v>
      </c>
      <c r="R150">
        <v>30465</v>
      </c>
      <c r="S150">
        <v>12543</v>
      </c>
      <c r="T150" t="s">
        <v>384</v>
      </c>
      <c r="U150">
        <v>28.263291283357049</v>
      </c>
    </row>
    <row r="151" spans="1:21" x14ac:dyDescent="0.25">
      <c r="A151" t="s">
        <v>153</v>
      </c>
      <c r="B151">
        <v>-38.951192104380397</v>
      </c>
      <c r="C151">
        <v>-3.015186297015704</v>
      </c>
      <c r="D151" t="s">
        <v>383</v>
      </c>
      <c r="E151">
        <v>37</v>
      </c>
      <c r="F151" t="s">
        <v>385</v>
      </c>
      <c r="G151">
        <v>16</v>
      </c>
      <c r="H151">
        <v>1098.45</v>
      </c>
      <c r="I151">
        <v>1175.22875</v>
      </c>
      <c r="J151">
        <v>1138.0319999999999</v>
      </c>
      <c r="K151">
        <v>1106.3599999999999</v>
      </c>
      <c r="L151" s="19">
        <v>45666</v>
      </c>
      <c r="M151" s="19">
        <v>45694</v>
      </c>
      <c r="N151" s="19">
        <v>45716</v>
      </c>
      <c r="O151">
        <v>1129.9000000000001</v>
      </c>
      <c r="P151">
        <v>1129.9000000000001</v>
      </c>
      <c r="Q151">
        <v>1074.4000000000001</v>
      </c>
      <c r="R151">
        <v>93090</v>
      </c>
      <c r="S151">
        <v>152484.54999999999</v>
      </c>
      <c r="T151" t="s">
        <v>384</v>
      </c>
      <c r="U151">
        <v>49.231917735892679</v>
      </c>
    </row>
    <row r="152" spans="1:21" x14ac:dyDescent="0.25">
      <c r="A152" t="s">
        <v>186</v>
      </c>
      <c r="B152">
        <v>-49.489501489527697</v>
      </c>
      <c r="C152">
        <v>-3.073325538667127</v>
      </c>
      <c r="D152" t="s">
        <v>383</v>
      </c>
      <c r="E152">
        <v>37</v>
      </c>
      <c r="F152" t="s">
        <v>383</v>
      </c>
      <c r="G152">
        <v>26</v>
      </c>
      <c r="H152">
        <v>290.14999999999998</v>
      </c>
      <c r="I152">
        <v>521.36350000000004</v>
      </c>
      <c r="J152">
        <v>452.36200000000002</v>
      </c>
      <c r="K152">
        <v>411.10199999999998</v>
      </c>
      <c r="L152" s="19">
        <v>45666</v>
      </c>
      <c r="M152" s="19">
        <v>45681</v>
      </c>
      <c r="N152" s="19">
        <v>45716</v>
      </c>
      <c r="O152">
        <v>295.95</v>
      </c>
      <c r="P152">
        <v>301.64999999999998</v>
      </c>
      <c r="Q152">
        <v>285.75</v>
      </c>
      <c r="R152">
        <v>2914583</v>
      </c>
      <c r="S152">
        <v>5770251.9000000004</v>
      </c>
      <c r="T152" t="s">
        <v>384</v>
      </c>
      <c r="U152">
        <v>29.156076487974151</v>
      </c>
    </row>
    <row r="153" spans="1:21" x14ac:dyDescent="0.25">
      <c r="A153" t="s">
        <v>40</v>
      </c>
      <c r="B153">
        <v>-0.60087645156971292</v>
      </c>
      <c r="C153">
        <v>-4.0133350429542194</v>
      </c>
      <c r="D153" t="s">
        <v>383</v>
      </c>
      <c r="E153">
        <v>37</v>
      </c>
      <c r="F153" t="s">
        <v>383</v>
      </c>
      <c r="G153">
        <v>43</v>
      </c>
      <c r="H153">
        <v>374.3</v>
      </c>
      <c r="I153">
        <v>494.89575000000002</v>
      </c>
      <c r="J153">
        <v>479.32350000000002</v>
      </c>
      <c r="K153">
        <v>451.51700000000011</v>
      </c>
      <c r="L153" s="19">
        <v>45666</v>
      </c>
      <c r="M153" s="19">
        <v>45658</v>
      </c>
      <c r="N153" s="19">
        <v>45716</v>
      </c>
      <c r="O153">
        <v>388.9</v>
      </c>
      <c r="P153">
        <v>389.65</v>
      </c>
      <c r="Q153">
        <v>373.35</v>
      </c>
      <c r="R153">
        <v>1471211</v>
      </c>
      <c r="S153">
        <v>1480104.6</v>
      </c>
      <c r="T153" t="s">
        <v>384</v>
      </c>
      <c r="U153">
        <v>23.343456398884019</v>
      </c>
    </row>
    <row r="154" spans="1:21" x14ac:dyDescent="0.25">
      <c r="A154" t="s">
        <v>157</v>
      </c>
      <c r="B154">
        <v>146.62609435983981</v>
      </c>
      <c r="C154">
        <v>1.863938378314814</v>
      </c>
      <c r="D154" t="s">
        <v>383</v>
      </c>
      <c r="E154">
        <v>38</v>
      </c>
      <c r="F154" t="s">
        <v>385</v>
      </c>
      <c r="G154">
        <v>1</v>
      </c>
      <c r="H154">
        <v>1732.4</v>
      </c>
      <c r="I154">
        <v>1681.203</v>
      </c>
      <c r="J154">
        <v>1733.712</v>
      </c>
      <c r="K154">
        <v>1705.8150000000001</v>
      </c>
      <c r="L154" s="19">
        <v>45665</v>
      </c>
      <c r="M154" s="19">
        <v>45716</v>
      </c>
      <c r="N154" s="19">
        <v>45716</v>
      </c>
      <c r="O154">
        <v>1685</v>
      </c>
      <c r="P154">
        <v>1737.25</v>
      </c>
      <c r="Q154">
        <v>1685</v>
      </c>
      <c r="R154">
        <v>27258364</v>
      </c>
      <c r="S154">
        <v>11052506.050000001</v>
      </c>
      <c r="T154" t="s">
        <v>386</v>
      </c>
      <c r="U154">
        <v>57.245827810323213</v>
      </c>
    </row>
    <row r="155" spans="1:21" x14ac:dyDescent="0.25">
      <c r="A155" t="s">
        <v>229</v>
      </c>
      <c r="B155">
        <v>-2.0514307964939298</v>
      </c>
      <c r="C155">
        <v>-2.4869927159209131</v>
      </c>
      <c r="D155" t="s">
        <v>383</v>
      </c>
      <c r="E155">
        <v>38</v>
      </c>
      <c r="F155" t="s">
        <v>383</v>
      </c>
      <c r="G155">
        <v>40</v>
      </c>
      <c r="H155">
        <v>468.55</v>
      </c>
      <c r="I155">
        <v>594.37299999999993</v>
      </c>
      <c r="J155">
        <v>576.52200000000005</v>
      </c>
      <c r="K155">
        <v>552.08100000000002</v>
      </c>
      <c r="L155" s="19">
        <v>45665</v>
      </c>
      <c r="M155" s="19">
        <v>45663</v>
      </c>
      <c r="N155" s="19">
        <v>45716</v>
      </c>
      <c r="O155">
        <v>480.5</v>
      </c>
      <c r="P155">
        <v>480.5</v>
      </c>
      <c r="Q155">
        <v>466</v>
      </c>
      <c r="R155">
        <v>49303</v>
      </c>
      <c r="S155">
        <v>50335.6</v>
      </c>
      <c r="T155" t="s">
        <v>386</v>
      </c>
      <c r="U155">
        <v>21.522543540830849</v>
      </c>
    </row>
    <row r="156" spans="1:21" x14ac:dyDescent="0.25">
      <c r="A156" t="s">
        <v>188</v>
      </c>
      <c r="B156">
        <v>112.38330456932989</v>
      </c>
      <c r="C156">
        <v>-5.93197129867995</v>
      </c>
      <c r="D156" t="s">
        <v>383</v>
      </c>
      <c r="E156">
        <v>38</v>
      </c>
      <c r="F156" t="s">
        <v>383</v>
      </c>
      <c r="G156">
        <v>48</v>
      </c>
      <c r="H156">
        <v>171.74</v>
      </c>
      <c r="I156">
        <v>227.93535</v>
      </c>
      <c r="J156">
        <v>223.18209999999999</v>
      </c>
      <c r="K156">
        <v>212.97280000000001</v>
      </c>
      <c r="L156" s="19">
        <v>45665</v>
      </c>
      <c r="M156" s="19">
        <v>45650</v>
      </c>
      <c r="N156" s="19">
        <v>45716</v>
      </c>
      <c r="O156">
        <v>182</v>
      </c>
      <c r="P156">
        <v>182.97</v>
      </c>
      <c r="Q156">
        <v>167.55</v>
      </c>
      <c r="R156">
        <v>781067</v>
      </c>
      <c r="S156">
        <v>367762.9</v>
      </c>
      <c r="T156" t="s">
        <v>386</v>
      </c>
      <c r="U156">
        <v>26.543065771166869</v>
      </c>
    </row>
    <row r="157" spans="1:21" x14ac:dyDescent="0.25">
      <c r="A157" t="s">
        <v>212</v>
      </c>
      <c r="B157">
        <v>-8.1425059296471619E-2</v>
      </c>
      <c r="C157">
        <v>-1.42233992833775</v>
      </c>
      <c r="D157" t="s">
        <v>383</v>
      </c>
      <c r="E157">
        <v>38</v>
      </c>
      <c r="F157" t="s">
        <v>383</v>
      </c>
      <c r="G157">
        <v>51</v>
      </c>
      <c r="H157">
        <v>3163.85</v>
      </c>
      <c r="I157">
        <v>3579.8795</v>
      </c>
      <c r="J157">
        <v>3541.5135</v>
      </c>
      <c r="K157">
        <v>3449.68</v>
      </c>
      <c r="L157" s="19">
        <v>45665</v>
      </c>
      <c r="M157" s="19">
        <v>45645</v>
      </c>
      <c r="N157" s="19">
        <v>45716</v>
      </c>
      <c r="O157">
        <v>3199.8</v>
      </c>
      <c r="P157">
        <v>3199.8</v>
      </c>
      <c r="Q157">
        <v>3141</v>
      </c>
      <c r="R157">
        <v>2494680</v>
      </c>
      <c r="S157">
        <v>2496712.9500000002</v>
      </c>
      <c r="T157" t="s">
        <v>384</v>
      </c>
      <c r="U157">
        <v>34.569492173499839</v>
      </c>
    </row>
    <row r="158" spans="1:21" x14ac:dyDescent="0.25">
      <c r="A158" t="s">
        <v>258</v>
      </c>
      <c r="B158">
        <v>-18.83840731640213</v>
      </c>
      <c r="C158">
        <v>-0.90153542752500027</v>
      </c>
      <c r="D158" t="s">
        <v>383</v>
      </c>
      <c r="E158">
        <v>39</v>
      </c>
      <c r="F158" t="s">
        <v>385</v>
      </c>
      <c r="G158">
        <v>5</v>
      </c>
      <c r="H158">
        <v>351.75</v>
      </c>
      <c r="I158">
        <v>381.125</v>
      </c>
      <c r="J158">
        <v>365.22800000000001</v>
      </c>
      <c r="K158">
        <v>358.565</v>
      </c>
      <c r="L158" s="19">
        <v>45664</v>
      </c>
      <c r="M158" s="19">
        <v>45709</v>
      </c>
      <c r="N158" s="19">
        <v>45716</v>
      </c>
      <c r="O158">
        <v>349.65</v>
      </c>
      <c r="P158">
        <v>356</v>
      </c>
      <c r="Q158">
        <v>345.9</v>
      </c>
      <c r="R158">
        <v>51330</v>
      </c>
      <c r="S158">
        <v>63244.2</v>
      </c>
      <c r="T158" t="s">
        <v>384</v>
      </c>
      <c r="U158">
        <v>50.951639084631793</v>
      </c>
    </row>
    <row r="159" spans="1:21" x14ac:dyDescent="0.25">
      <c r="A159" t="s">
        <v>235</v>
      </c>
      <c r="B159">
        <v>30.177163308038441</v>
      </c>
      <c r="C159">
        <v>-0.33076877966466939</v>
      </c>
      <c r="D159" t="s">
        <v>383</v>
      </c>
      <c r="E159">
        <v>39</v>
      </c>
      <c r="F159" t="s">
        <v>383</v>
      </c>
      <c r="G159">
        <v>14</v>
      </c>
      <c r="H159">
        <v>105373.7</v>
      </c>
      <c r="I159">
        <v>126978.6525</v>
      </c>
      <c r="J159">
        <v>121164.34450000001</v>
      </c>
      <c r="K159">
        <v>115993.227</v>
      </c>
      <c r="L159" s="19">
        <v>45664</v>
      </c>
      <c r="M159" s="19">
        <v>45698</v>
      </c>
      <c r="N159" s="19">
        <v>45716</v>
      </c>
      <c r="O159">
        <v>105480</v>
      </c>
      <c r="P159">
        <v>105649.75</v>
      </c>
      <c r="Q159">
        <v>103824.1</v>
      </c>
      <c r="R159">
        <v>8766</v>
      </c>
      <c r="S159">
        <v>6733.9</v>
      </c>
      <c r="T159" t="s">
        <v>384</v>
      </c>
      <c r="U159">
        <v>23.95261629345687</v>
      </c>
    </row>
    <row r="160" spans="1:21" x14ac:dyDescent="0.25">
      <c r="A160" t="s">
        <v>259</v>
      </c>
      <c r="B160">
        <v>126.41914231603801</v>
      </c>
      <c r="C160">
        <v>-5.0284948038887034</v>
      </c>
      <c r="D160" t="s">
        <v>383</v>
      </c>
      <c r="E160">
        <v>39</v>
      </c>
      <c r="F160" t="s">
        <v>383</v>
      </c>
      <c r="G160">
        <v>42</v>
      </c>
      <c r="H160">
        <v>283.3</v>
      </c>
      <c r="I160">
        <v>332.64325000000002</v>
      </c>
      <c r="J160">
        <v>326.44799999999998</v>
      </c>
      <c r="K160">
        <v>316.43099999999998</v>
      </c>
      <c r="L160" s="19">
        <v>45664</v>
      </c>
      <c r="M160" s="19">
        <v>45659</v>
      </c>
      <c r="N160" s="19">
        <v>45716</v>
      </c>
      <c r="O160">
        <v>297.64999999999998</v>
      </c>
      <c r="P160">
        <v>299.25</v>
      </c>
      <c r="Q160">
        <v>280.10000000000002</v>
      </c>
      <c r="R160">
        <v>4969675</v>
      </c>
      <c r="S160">
        <v>2194900.5499999998</v>
      </c>
      <c r="T160" t="s">
        <v>386</v>
      </c>
      <c r="U160">
        <v>38.837775877475543</v>
      </c>
    </row>
    <row r="161" spans="1:21" x14ac:dyDescent="0.25">
      <c r="A161" t="s">
        <v>311</v>
      </c>
      <c r="B161">
        <v>-32.552093622334077</v>
      </c>
      <c r="C161">
        <v>-1.5150095273795019</v>
      </c>
      <c r="D161" t="s">
        <v>383</v>
      </c>
      <c r="E161">
        <v>39</v>
      </c>
      <c r="F161" t="s">
        <v>383</v>
      </c>
      <c r="G161">
        <v>49</v>
      </c>
      <c r="H161">
        <v>1576.4</v>
      </c>
      <c r="I161">
        <v>2030.9504999999999</v>
      </c>
      <c r="J161">
        <v>2183.0635000000002</v>
      </c>
      <c r="K161">
        <v>1992.931</v>
      </c>
      <c r="L161" s="19">
        <v>45664</v>
      </c>
      <c r="M161" s="19">
        <v>45649</v>
      </c>
      <c r="N161" s="19">
        <v>45716</v>
      </c>
      <c r="O161">
        <v>1599</v>
      </c>
      <c r="P161">
        <v>1610.95</v>
      </c>
      <c r="Q161">
        <v>1556.05</v>
      </c>
      <c r="R161">
        <v>21339</v>
      </c>
      <c r="S161">
        <v>31637.75</v>
      </c>
      <c r="T161" t="s">
        <v>386</v>
      </c>
      <c r="U161">
        <v>33.307620651557031</v>
      </c>
    </row>
    <row r="162" spans="1:21" x14ac:dyDescent="0.25">
      <c r="A162" t="s">
        <v>202</v>
      </c>
      <c r="B162">
        <v>25.84334395366697</v>
      </c>
      <c r="C162">
        <v>-0.29429369513167708</v>
      </c>
      <c r="D162" t="s">
        <v>383</v>
      </c>
      <c r="E162">
        <v>39</v>
      </c>
      <c r="F162" t="s">
        <v>383</v>
      </c>
      <c r="G162">
        <v>53</v>
      </c>
      <c r="H162">
        <v>999.45</v>
      </c>
      <c r="I162">
        <v>1353.1745000000001</v>
      </c>
      <c r="J162">
        <v>1418.7925</v>
      </c>
      <c r="K162">
        <v>1248.8140000000001</v>
      </c>
      <c r="L162" s="19">
        <v>45664</v>
      </c>
      <c r="M162" s="19">
        <v>45643</v>
      </c>
      <c r="N162" s="19">
        <v>45716</v>
      </c>
      <c r="O162">
        <v>995.35</v>
      </c>
      <c r="P162">
        <v>1010.75</v>
      </c>
      <c r="Q162">
        <v>953</v>
      </c>
      <c r="R162">
        <v>169504</v>
      </c>
      <c r="S162">
        <v>134694.45000000001</v>
      </c>
      <c r="T162" t="s">
        <v>386</v>
      </c>
      <c r="U162">
        <v>33.680202561175449</v>
      </c>
    </row>
    <row r="163" spans="1:21" x14ac:dyDescent="0.25">
      <c r="A163" t="s">
        <v>310</v>
      </c>
      <c r="B163">
        <v>-16.94308520726041</v>
      </c>
      <c r="C163">
        <v>-4.2779213321849081</v>
      </c>
      <c r="D163" t="s">
        <v>383</v>
      </c>
      <c r="E163">
        <v>39</v>
      </c>
      <c r="F163" t="s">
        <v>383</v>
      </c>
      <c r="G163">
        <v>53</v>
      </c>
      <c r="H163">
        <v>333.4</v>
      </c>
      <c r="I163">
        <v>487.15525000000002</v>
      </c>
      <c r="J163">
        <v>537.26799999999992</v>
      </c>
      <c r="K163">
        <v>484.59699999999998</v>
      </c>
      <c r="L163" s="19">
        <v>45664</v>
      </c>
      <c r="M163" s="19">
        <v>45643</v>
      </c>
      <c r="N163" s="19">
        <v>45716</v>
      </c>
      <c r="O163">
        <v>342.95</v>
      </c>
      <c r="P163">
        <v>347.4</v>
      </c>
      <c r="Q163">
        <v>331.15</v>
      </c>
      <c r="R163">
        <v>112553</v>
      </c>
      <c r="S163">
        <v>135513.1</v>
      </c>
      <c r="T163" t="s">
        <v>386</v>
      </c>
      <c r="U163">
        <v>22.239227598040131</v>
      </c>
    </row>
    <row r="164" spans="1:21" x14ac:dyDescent="0.25">
      <c r="A164" t="s">
        <v>23</v>
      </c>
      <c r="B164">
        <v>12.86756914576527</v>
      </c>
      <c r="C164">
        <v>0.64171122994652408</v>
      </c>
      <c r="D164" t="s">
        <v>383</v>
      </c>
      <c r="E164">
        <v>40</v>
      </c>
      <c r="F164" t="s">
        <v>383</v>
      </c>
      <c r="G164">
        <v>14</v>
      </c>
      <c r="H164">
        <v>235.25</v>
      </c>
      <c r="I164">
        <v>265.36500000000001</v>
      </c>
      <c r="J164">
        <v>289.24</v>
      </c>
      <c r="K164">
        <v>268.36099999999999</v>
      </c>
      <c r="L164" s="19">
        <v>45663</v>
      </c>
      <c r="M164" s="19">
        <v>45698</v>
      </c>
      <c r="N164" s="19">
        <v>45716</v>
      </c>
      <c r="O164">
        <v>232</v>
      </c>
      <c r="P164">
        <v>237.05</v>
      </c>
      <c r="Q164">
        <v>226.15</v>
      </c>
      <c r="R164">
        <v>148059</v>
      </c>
      <c r="S164">
        <v>131179.4</v>
      </c>
      <c r="T164" t="s">
        <v>386</v>
      </c>
      <c r="U164">
        <v>38.182273250196268</v>
      </c>
    </row>
    <row r="165" spans="1:21" x14ac:dyDescent="0.25">
      <c r="A165" t="s">
        <v>67</v>
      </c>
      <c r="B165">
        <v>18.640473263997791</v>
      </c>
      <c r="C165">
        <v>-3.6356641338847759</v>
      </c>
      <c r="D165" t="s">
        <v>383</v>
      </c>
      <c r="E165">
        <v>40</v>
      </c>
      <c r="F165" t="s">
        <v>383</v>
      </c>
      <c r="G165">
        <v>48</v>
      </c>
      <c r="H165">
        <v>100.19</v>
      </c>
      <c r="I165">
        <v>133.19460000000001</v>
      </c>
      <c r="J165">
        <v>128.94329999999999</v>
      </c>
      <c r="K165">
        <v>120.3382</v>
      </c>
      <c r="L165" s="19">
        <v>45663</v>
      </c>
      <c r="M165" s="19">
        <v>45650</v>
      </c>
      <c r="N165" s="19">
        <v>45716</v>
      </c>
      <c r="O165">
        <v>102</v>
      </c>
      <c r="P165">
        <v>103.61</v>
      </c>
      <c r="Q165">
        <v>99.5</v>
      </c>
      <c r="R165">
        <v>639138</v>
      </c>
      <c r="S165">
        <v>538718.35</v>
      </c>
      <c r="T165" t="s">
        <v>384</v>
      </c>
      <c r="U165">
        <v>32.553977074998727</v>
      </c>
    </row>
    <row r="166" spans="1:21" x14ac:dyDescent="0.25">
      <c r="A166" t="s">
        <v>34</v>
      </c>
      <c r="B166">
        <v>34.559382844799167</v>
      </c>
      <c r="C166">
        <v>-4.3679126417471617</v>
      </c>
      <c r="D166" t="s">
        <v>383</v>
      </c>
      <c r="E166">
        <v>40</v>
      </c>
      <c r="F166" t="s">
        <v>383</v>
      </c>
      <c r="G166">
        <v>49</v>
      </c>
      <c r="H166">
        <v>91.08</v>
      </c>
      <c r="I166">
        <v>128.63399999999999</v>
      </c>
      <c r="J166">
        <v>125.2649</v>
      </c>
      <c r="K166">
        <v>117.1658</v>
      </c>
      <c r="L166" s="19">
        <v>45663</v>
      </c>
      <c r="M166" s="19">
        <v>45649</v>
      </c>
      <c r="N166" s="19">
        <v>45716</v>
      </c>
      <c r="O166">
        <v>94</v>
      </c>
      <c r="P166">
        <v>94.56</v>
      </c>
      <c r="Q166">
        <v>89.44</v>
      </c>
      <c r="R166">
        <v>524497</v>
      </c>
      <c r="S166">
        <v>389788.5</v>
      </c>
      <c r="T166" t="s">
        <v>386</v>
      </c>
      <c r="U166">
        <v>27.356052538698691</v>
      </c>
    </row>
    <row r="167" spans="1:21" x14ac:dyDescent="0.25">
      <c r="A167" t="s">
        <v>356</v>
      </c>
      <c r="B167">
        <v>60.088930167810602</v>
      </c>
      <c r="C167">
        <v>-4.5442371216855664</v>
      </c>
      <c r="D167" t="s">
        <v>383</v>
      </c>
      <c r="E167">
        <v>40</v>
      </c>
      <c r="F167" t="s">
        <v>383</v>
      </c>
      <c r="G167">
        <v>49</v>
      </c>
      <c r="H167">
        <v>106.92</v>
      </c>
      <c r="I167">
        <v>158.30680000000001</v>
      </c>
      <c r="J167">
        <v>150.21789999999999</v>
      </c>
      <c r="K167">
        <v>140.91460000000001</v>
      </c>
      <c r="L167" s="19">
        <v>45663</v>
      </c>
      <c r="M167" s="19">
        <v>45649</v>
      </c>
      <c r="N167" s="19">
        <v>45716</v>
      </c>
      <c r="O167">
        <v>112.01</v>
      </c>
      <c r="P167">
        <v>112.01</v>
      </c>
      <c r="Q167">
        <v>104.8</v>
      </c>
      <c r="R167">
        <v>2932972</v>
      </c>
      <c r="S167">
        <v>1832089.2</v>
      </c>
      <c r="T167" t="s">
        <v>384</v>
      </c>
      <c r="U167">
        <v>25.497816329436091</v>
      </c>
    </row>
    <row r="168" spans="1:21" x14ac:dyDescent="0.25">
      <c r="A168" t="s">
        <v>241</v>
      </c>
      <c r="B168">
        <v>14.559366255620191</v>
      </c>
      <c r="C168">
        <v>-3.9352969579913109</v>
      </c>
      <c r="D168" t="s">
        <v>383</v>
      </c>
      <c r="E168">
        <v>41</v>
      </c>
      <c r="F168" t="s">
        <v>385</v>
      </c>
      <c r="G168">
        <v>3</v>
      </c>
      <c r="H168">
        <v>397.9</v>
      </c>
      <c r="I168">
        <v>442.99169999999998</v>
      </c>
      <c r="J168">
        <v>466.32049999999998</v>
      </c>
      <c r="K168">
        <v>437.43340000000012</v>
      </c>
      <c r="L168" s="19">
        <v>45660</v>
      </c>
      <c r="M168" s="19">
        <v>45713</v>
      </c>
      <c r="N168" s="19">
        <v>45716</v>
      </c>
      <c r="O168">
        <v>385</v>
      </c>
      <c r="P168">
        <v>403.95</v>
      </c>
      <c r="Q168">
        <v>381.1</v>
      </c>
      <c r="R168">
        <v>636643</v>
      </c>
      <c r="S168">
        <v>555731.94999999995</v>
      </c>
      <c r="T168" t="s">
        <v>386</v>
      </c>
      <c r="U168">
        <v>44.585119588285352</v>
      </c>
    </row>
    <row r="169" spans="1:21" x14ac:dyDescent="0.25">
      <c r="A169" t="s">
        <v>119</v>
      </c>
      <c r="B169">
        <v>-41.116425324976333</v>
      </c>
      <c r="C169">
        <v>-2.698256005264887</v>
      </c>
      <c r="D169" t="s">
        <v>383</v>
      </c>
      <c r="E169">
        <v>41</v>
      </c>
      <c r="F169" t="s">
        <v>383</v>
      </c>
      <c r="G169">
        <v>10</v>
      </c>
      <c r="H169">
        <v>1182.8</v>
      </c>
      <c r="I169">
        <v>1238.1195</v>
      </c>
      <c r="J169">
        <v>1334.1489999999999</v>
      </c>
      <c r="K169">
        <v>1286.3789999999999</v>
      </c>
      <c r="L169" s="19">
        <v>45660</v>
      </c>
      <c r="M169" s="19">
        <v>45702</v>
      </c>
      <c r="N169" s="19">
        <v>45716</v>
      </c>
      <c r="O169">
        <v>1200.0999999999999</v>
      </c>
      <c r="P169">
        <v>1217</v>
      </c>
      <c r="Q169">
        <v>1158.75</v>
      </c>
      <c r="R169">
        <v>184507</v>
      </c>
      <c r="S169">
        <v>313342.05</v>
      </c>
      <c r="T169" t="s">
        <v>386</v>
      </c>
      <c r="U169">
        <v>37.035916892345561</v>
      </c>
    </row>
    <row r="170" spans="1:21" x14ac:dyDescent="0.25">
      <c r="A170" t="s">
        <v>320</v>
      </c>
      <c r="B170">
        <v>50.004524323041409</v>
      </c>
      <c r="C170">
        <v>-4.5981458396022248</v>
      </c>
      <c r="D170" t="s">
        <v>383</v>
      </c>
      <c r="E170">
        <v>41</v>
      </c>
      <c r="F170" t="s">
        <v>383</v>
      </c>
      <c r="G170">
        <v>12</v>
      </c>
      <c r="H170">
        <v>3329</v>
      </c>
      <c r="I170">
        <v>4981.0015000000003</v>
      </c>
      <c r="J170">
        <v>4425.1805000000004</v>
      </c>
      <c r="K170">
        <v>4110.1959999999999</v>
      </c>
      <c r="L170" s="19">
        <v>45660</v>
      </c>
      <c r="M170" s="19">
        <v>45700</v>
      </c>
      <c r="N170" s="19">
        <v>45716</v>
      </c>
      <c r="O170">
        <v>3448.4</v>
      </c>
      <c r="P170">
        <v>3491.45</v>
      </c>
      <c r="Q170">
        <v>3316</v>
      </c>
      <c r="R170">
        <v>347300</v>
      </c>
      <c r="S170">
        <v>231526.35</v>
      </c>
      <c r="T170" t="s">
        <v>384</v>
      </c>
      <c r="U170">
        <v>27.80187796564141</v>
      </c>
    </row>
    <row r="171" spans="1:21" x14ac:dyDescent="0.25">
      <c r="A171" t="s">
        <v>333</v>
      </c>
      <c r="B171">
        <v>74.405537825324757</v>
      </c>
      <c r="C171">
        <v>-5.1851341101841033</v>
      </c>
      <c r="D171" t="s">
        <v>383</v>
      </c>
      <c r="E171">
        <v>41</v>
      </c>
      <c r="F171" t="s">
        <v>383</v>
      </c>
      <c r="G171">
        <v>37</v>
      </c>
      <c r="H171">
        <v>687.55</v>
      </c>
      <c r="I171">
        <v>813.87925000000007</v>
      </c>
      <c r="J171">
        <v>885.18799999999999</v>
      </c>
      <c r="K171">
        <v>819.08900000000006</v>
      </c>
      <c r="L171" s="19">
        <v>45660</v>
      </c>
      <c r="M171" s="19">
        <v>45666</v>
      </c>
      <c r="N171" s="19">
        <v>45716</v>
      </c>
      <c r="O171">
        <v>731.4</v>
      </c>
      <c r="P171">
        <v>731.95</v>
      </c>
      <c r="Q171">
        <v>675</v>
      </c>
      <c r="R171">
        <v>52380</v>
      </c>
      <c r="S171">
        <v>30033.45</v>
      </c>
      <c r="T171" t="s">
        <v>386</v>
      </c>
      <c r="U171">
        <v>31.51441174022716</v>
      </c>
    </row>
    <row r="172" spans="1:21" x14ac:dyDescent="0.25">
      <c r="A172" t="s">
        <v>180</v>
      </c>
      <c r="B172">
        <v>31.98448005315727</v>
      </c>
      <c r="C172">
        <v>-1.9612773447321989</v>
      </c>
      <c r="D172" t="s">
        <v>383</v>
      </c>
      <c r="E172">
        <v>42</v>
      </c>
      <c r="F172" t="s">
        <v>383</v>
      </c>
      <c r="G172">
        <v>3</v>
      </c>
      <c r="H172">
        <v>584.85</v>
      </c>
      <c r="I172">
        <v>715.97174999999993</v>
      </c>
      <c r="J172">
        <v>675.28599999999994</v>
      </c>
      <c r="K172">
        <v>639.80999999999995</v>
      </c>
      <c r="L172" s="19">
        <v>45659</v>
      </c>
      <c r="M172" s="19">
        <v>45713</v>
      </c>
      <c r="N172" s="19">
        <v>45716</v>
      </c>
      <c r="O172">
        <v>595</v>
      </c>
      <c r="P172">
        <v>595</v>
      </c>
      <c r="Q172">
        <v>573.5</v>
      </c>
      <c r="R172">
        <v>1185041</v>
      </c>
      <c r="S172">
        <v>897863.9</v>
      </c>
      <c r="T172" t="s">
        <v>384</v>
      </c>
      <c r="U172">
        <v>39.391999441814527</v>
      </c>
    </row>
    <row r="173" spans="1:21" x14ac:dyDescent="0.25">
      <c r="A173" t="s">
        <v>257</v>
      </c>
      <c r="B173">
        <v>175.08009140564039</v>
      </c>
      <c r="C173">
        <v>-0.32232070910555322</v>
      </c>
      <c r="D173" t="s">
        <v>383</v>
      </c>
      <c r="E173">
        <v>42</v>
      </c>
      <c r="F173" t="s">
        <v>383</v>
      </c>
      <c r="G173">
        <v>49</v>
      </c>
      <c r="H173">
        <v>37.11</v>
      </c>
      <c r="I173">
        <v>56.991850000000007</v>
      </c>
      <c r="J173">
        <v>47.535600000000002</v>
      </c>
      <c r="K173">
        <v>44.543599999999998</v>
      </c>
      <c r="L173" s="19">
        <v>45659</v>
      </c>
      <c r="M173" s="19">
        <v>45649</v>
      </c>
      <c r="N173" s="19">
        <v>45716</v>
      </c>
      <c r="O173">
        <v>36.94</v>
      </c>
      <c r="P173">
        <v>39.450000000000003</v>
      </c>
      <c r="Q173">
        <v>34.07</v>
      </c>
      <c r="R173">
        <v>4935487</v>
      </c>
      <c r="S173">
        <v>1794200</v>
      </c>
      <c r="T173" t="s">
        <v>384</v>
      </c>
      <c r="U173">
        <v>25.29609248933377</v>
      </c>
    </row>
    <row r="174" spans="1:21" x14ac:dyDescent="0.25">
      <c r="A174" t="s">
        <v>174</v>
      </c>
      <c r="B174">
        <v>61.5282440976369</v>
      </c>
      <c r="C174">
        <v>0.82694634933440214</v>
      </c>
      <c r="D174" t="s">
        <v>383</v>
      </c>
      <c r="E174">
        <v>42</v>
      </c>
      <c r="F174" t="s">
        <v>383</v>
      </c>
      <c r="G174">
        <v>50</v>
      </c>
      <c r="H174">
        <v>499.9</v>
      </c>
      <c r="I174">
        <v>625.30325000000005</v>
      </c>
      <c r="J174">
        <v>628.56850000000009</v>
      </c>
      <c r="K174">
        <v>588.471</v>
      </c>
      <c r="L174" s="19">
        <v>45659</v>
      </c>
      <c r="M174" s="19">
        <v>45646</v>
      </c>
      <c r="N174" s="19">
        <v>45716</v>
      </c>
      <c r="O174">
        <v>490.05</v>
      </c>
      <c r="P174">
        <v>502.05</v>
      </c>
      <c r="Q174">
        <v>475.3</v>
      </c>
      <c r="R174">
        <v>327795</v>
      </c>
      <c r="S174">
        <v>202933.55</v>
      </c>
      <c r="T174" t="s">
        <v>386</v>
      </c>
      <c r="U174">
        <v>34.210106267815178</v>
      </c>
    </row>
    <row r="175" spans="1:21" x14ac:dyDescent="0.25">
      <c r="A175" t="s">
        <v>348</v>
      </c>
      <c r="B175">
        <v>39.796158031470242</v>
      </c>
      <c r="C175">
        <v>-2.4224446916326809</v>
      </c>
      <c r="D175" t="s">
        <v>383</v>
      </c>
      <c r="E175">
        <v>43</v>
      </c>
      <c r="F175" t="s">
        <v>383</v>
      </c>
      <c r="G175">
        <v>3</v>
      </c>
      <c r="H175">
        <v>394.75</v>
      </c>
      <c r="I175">
        <v>455.15125</v>
      </c>
      <c r="J175">
        <v>455.00549999999998</v>
      </c>
      <c r="K175">
        <v>437.61900000000003</v>
      </c>
      <c r="L175" s="19">
        <v>45658</v>
      </c>
      <c r="M175" s="19">
        <v>45713</v>
      </c>
      <c r="N175" s="19">
        <v>45716</v>
      </c>
      <c r="O175">
        <v>400</v>
      </c>
      <c r="P175">
        <v>400.9</v>
      </c>
      <c r="Q175">
        <v>392.35</v>
      </c>
      <c r="R175">
        <v>13633752</v>
      </c>
      <c r="S175">
        <v>9752594.1999999993</v>
      </c>
      <c r="T175" t="s">
        <v>386</v>
      </c>
      <c r="U175">
        <v>34.736334229781313</v>
      </c>
    </row>
    <row r="176" spans="1:21" x14ac:dyDescent="0.25">
      <c r="A176" t="s">
        <v>239</v>
      </c>
      <c r="B176">
        <v>-5.674539909120389</v>
      </c>
      <c r="C176">
        <v>-3.2695324756824551</v>
      </c>
      <c r="D176" t="s">
        <v>383</v>
      </c>
      <c r="E176">
        <v>43</v>
      </c>
      <c r="F176" t="s">
        <v>383</v>
      </c>
      <c r="G176">
        <v>11</v>
      </c>
      <c r="H176">
        <v>770.7</v>
      </c>
      <c r="I176">
        <v>1299.3375000000001</v>
      </c>
      <c r="J176">
        <v>1291.6344999999999</v>
      </c>
      <c r="K176">
        <v>1182.021</v>
      </c>
      <c r="L176" s="19">
        <v>45658</v>
      </c>
      <c r="M176" s="19">
        <v>45701</v>
      </c>
      <c r="N176" s="19">
        <v>45716</v>
      </c>
      <c r="O176">
        <v>783.1</v>
      </c>
      <c r="P176">
        <v>792.9</v>
      </c>
      <c r="Q176">
        <v>757.05</v>
      </c>
      <c r="R176">
        <v>1590846</v>
      </c>
      <c r="S176">
        <v>1686549.95</v>
      </c>
      <c r="T176" t="s">
        <v>386</v>
      </c>
      <c r="U176">
        <v>22.270501558990919</v>
      </c>
    </row>
    <row r="177" spans="1:21" x14ac:dyDescent="0.25">
      <c r="A177" t="s">
        <v>121</v>
      </c>
      <c r="B177">
        <v>-5.3861117618248944</v>
      </c>
      <c r="C177">
        <v>-4.5461847389558203</v>
      </c>
      <c r="D177" t="s">
        <v>383</v>
      </c>
      <c r="E177">
        <v>43</v>
      </c>
      <c r="F177" t="s">
        <v>383</v>
      </c>
      <c r="G177">
        <v>14</v>
      </c>
      <c r="H177">
        <v>118.84</v>
      </c>
      <c r="I177">
        <v>169.91354999999999</v>
      </c>
      <c r="J177">
        <v>179.2252</v>
      </c>
      <c r="K177">
        <v>159.0848</v>
      </c>
      <c r="L177" s="19">
        <v>45658</v>
      </c>
      <c r="M177" s="19">
        <v>45698</v>
      </c>
      <c r="N177" s="19">
        <v>45716</v>
      </c>
      <c r="O177">
        <v>122.9</v>
      </c>
      <c r="P177">
        <v>124.1</v>
      </c>
      <c r="Q177">
        <v>117.8</v>
      </c>
      <c r="R177">
        <v>405101</v>
      </c>
      <c r="S177">
        <v>428162.3</v>
      </c>
      <c r="T177" t="s">
        <v>386</v>
      </c>
      <c r="U177">
        <v>28.42848622224615</v>
      </c>
    </row>
    <row r="178" spans="1:21" x14ac:dyDescent="0.25">
      <c r="A178" t="s">
        <v>124</v>
      </c>
      <c r="B178">
        <v>-2.2247165016522539</v>
      </c>
      <c r="C178">
        <v>-0.60992669688322054</v>
      </c>
      <c r="D178" t="s">
        <v>383</v>
      </c>
      <c r="E178">
        <v>43</v>
      </c>
      <c r="F178" t="s">
        <v>383</v>
      </c>
      <c r="G178">
        <v>40</v>
      </c>
      <c r="H178">
        <v>177.62</v>
      </c>
      <c r="I178">
        <v>190.71430000000001</v>
      </c>
      <c r="J178">
        <v>196.2449</v>
      </c>
      <c r="K178">
        <v>189.22460000000001</v>
      </c>
      <c r="L178" s="19">
        <v>45658</v>
      </c>
      <c r="M178" s="19">
        <v>45663</v>
      </c>
      <c r="N178" s="19">
        <v>45716</v>
      </c>
      <c r="O178">
        <v>178.2</v>
      </c>
      <c r="P178">
        <v>179.05</v>
      </c>
      <c r="Q178">
        <v>175.01</v>
      </c>
      <c r="R178">
        <v>5614981</v>
      </c>
      <c r="S178">
        <v>5742740.7000000002</v>
      </c>
      <c r="T178" t="s">
        <v>386</v>
      </c>
      <c r="U178">
        <v>37.136272181281669</v>
      </c>
    </row>
    <row r="179" spans="1:21" x14ac:dyDescent="0.25">
      <c r="A179" t="s">
        <v>184</v>
      </c>
      <c r="B179">
        <v>29.050163523606951</v>
      </c>
      <c r="C179">
        <v>-3.1095664898481798</v>
      </c>
      <c r="D179" t="s">
        <v>383</v>
      </c>
      <c r="E179">
        <v>43</v>
      </c>
      <c r="F179" t="s">
        <v>383</v>
      </c>
      <c r="G179">
        <v>50</v>
      </c>
      <c r="H179">
        <v>264.85000000000002</v>
      </c>
      <c r="I179">
        <v>391.06849999999997</v>
      </c>
      <c r="J179">
        <v>362.36500000000001</v>
      </c>
      <c r="K179">
        <v>334.733</v>
      </c>
      <c r="L179" s="19">
        <v>45658</v>
      </c>
      <c r="M179" s="19">
        <v>45646</v>
      </c>
      <c r="N179" s="19">
        <v>45716</v>
      </c>
      <c r="O179">
        <v>271.85000000000002</v>
      </c>
      <c r="P179">
        <v>271.85000000000002</v>
      </c>
      <c r="Q179">
        <v>259.25</v>
      </c>
      <c r="R179">
        <v>733053</v>
      </c>
      <c r="S179">
        <v>568037.25</v>
      </c>
      <c r="T179" t="s">
        <v>384</v>
      </c>
      <c r="U179">
        <v>22.07518784906836</v>
      </c>
    </row>
    <row r="180" spans="1:21" x14ac:dyDescent="0.25">
      <c r="A180" t="s">
        <v>236</v>
      </c>
      <c r="B180">
        <v>19.00342800347806</v>
      </c>
      <c r="C180">
        <v>-4.0168197410645199</v>
      </c>
      <c r="D180" t="s">
        <v>383</v>
      </c>
      <c r="E180">
        <v>43</v>
      </c>
      <c r="F180" t="s">
        <v>383</v>
      </c>
      <c r="G180">
        <v>52</v>
      </c>
      <c r="H180">
        <v>433.7</v>
      </c>
      <c r="I180">
        <v>739.18574999999998</v>
      </c>
      <c r="J180">
        <v>642.91200000000003</v>
      </c>
      <c r="K180">
        <v>597.50400000000002</v>
      </c>
      <c r="L180" s="19">
        <v>45658</v>
      </c>
      <c r="M180" s="19">
        <v>45644</v>
      </c>
      <c r="N180" s="19">
        <v>45716</v>
      </c>
      <c r="O180">
        <v>445</v>
      </c>
      <c r="P180">
        <v>448.7</v>
      </c>
      <c r="Q180">
        <v>424.5</v>
      </c>
      <c r="R180">
        <v>369733</v>
      </c>
      <c r="S180">
        <v>310691.05</v>
      </c>
      <c r="T180" t="s">
        <v>384</v>
      </c>
      <c r="U180">
        <v>25.179377671492261</v>
      </c>
    </row>
    <row r="181" spans="1:21" x14ac:dyDescent="0.25">
      <c r="A181" t="s">
        <v>330</v>
      </c>
      <c r="B181">
        <v>-30.769267700166601</v>
      </c>
      <c r="C181">
        <v>-1.6565367655821821</v>
      </c>
      <c r="D181" t="s">
        <v>383</v>
      </c>
      <c r="E181">
        <v>44</v>
      </c>
      <c r="F181" t="s">
        <v>383</v>
      </c>
      <c r="G181">
        <v>5</v>
      </c>
      <c r="H181">
        <v>2475.6</v>
      </c>
      <c r="I181">
        <v>2925.6702500000001</v>
      </c>
      <c r="J181">
        <v>2794.7179999999998</v>
      </c>
      <c r="K181">
        <v>2698.6849999999999</v>
      </c>
      <c r="L181" s="19">
        <v>45657</v>
      </c>
      <c r="M181" s="19">
        <v>45709</v>
      </c>
      <c r="N181" s="19">
        <v>45716</v>
      </c>
      <c r="O181">
        <v>2473.5500000000002</v>
      </c>
      <c r="P181">
        <v>2498.9499999999998</v>
      </c>
      <c r="Q181">
        <v>2412</v>
      </c>
      <c r="R181">
        <v>7210</v>
      </c>
      <c r="S181">
        <v>10414.450000000001</v>
      </c>
      <c r="T181" t="s">
        <v>384</v>
      </c>
      <c r="U181">
        <v>37.438072340710598</v>
      </c>
    </row>
    <row r="182" spans="1:21" x14ac:dyDescent="0.25">
      <c r="A182" t="s">
        <v>246</v>
      </c>
      <c r="B182">
        <v>31.19902200188092</v>
      </c>
      <c r="C182">
        <v>-3.087925034934381</v>
      </c>
      <c r="D182" t="s">
        <v>383</v>
      </c>
      <c r="E182">
        <v>44</v>
      </c>
      <c r="F182" t="s">
        <v>383</v>
      </c>
      <c r="G182">
        <v>12</v>
      </c>
      <c r="H182">
        <v>10611</v>
      </c>
      <c r="I182">
        <v>11837.79175</v>
      </c>
      <c r="J182">
        <v>14199.483</v>
      </c>
      <c r="K182">
        <v>13363.348</v>
      </c>
      <c r="L182" s="19">
        <v>45657</v>
      </c>
      <c r="M182" s="19">
        <v>45700</v>
      </c>
      <c r="N182" s="19">
        <v>45716</v>
      </c>
      <c r="O182">
        <v>10900</v>
      </c>
      <c r="P182">
        <v>10900</v>
      </c>
      <c r="Q182">
        <v>10222.65</v>
      </c>
      <c r="R182">
        <v>63963</v>
      </c>
      <c r="S182">
        <v>48752.65</v>
      </c>
      <c r="T182" t="s">
        <v>386</v>
      </c>
      <c r="U182">
        <v>30.756892554399879</v>
      </c>
    </row>
    <row r="183" spans="1:21" x14ac:dyDescent="0.25">
      <c r="A183" t="s">
        <v>167</v>
      </c>
      <c r="B183">
        <v>-0.84033140773943826</v>
      </c>
      <c r="C183">
        <v>-2.0705521472392658</v>
      </c>
      <c r="D183" t="s">
        <v>383</v>
      </c>
      <c r="E183">
        <v>45</v>
      </c>
      <c r="F183" t="s">
        <v>383</v>
      </c>
      <c r="G183">
        <v>13</v>
      </c>
      <c r="H183">
        <v>510.8</v>
      </c>
      <c r="I183">
        <v>544.0172500000001</v>
      </c>
      <c r="J183">
        <v>538.91449999999998</v>
      </c>
      <c r="K183">
        <v>522.90299999999991</v>
      </c>
      <c r="L183" s="19">
        <v>45656</v>
      </c>
      <c r="M183" s="19">
        <v>45699</v>
      </c>
      <c r="N183" s="19">
        <v>45716</v>
      </c>
      <c r="O183">
        <v>520</v>
      </c>
      <c r="P183">
        <v>520</v>
      </c>
      <c r="Q183">
        <v>501.55</v>
      </c>
      <c r="R183">
        <v>1216404</v>
      </c>
      <c r="S183">
        <v>1226712.45</v>
      </c>
      <c r="T183" t="s">
        <v>384</v>
      </c>
      <c r="U183">
        <v>43.920171199265297</v>
      </c>
    </row>
    <row r="184" spans="1:21" x14ac:dyDescent="0.25">
      <c r="A184" t="s">
        <v>308</v>
      </c>
      <c r="B184">
        <v>23.496390184480319</v>
      </c>
      <c r="C184">
        <v>-2.145191078278168</v>
      </c>
      <c r="D184" t="s">
        <v>383</v>
      </c>
      <c r="E184">
        <v>45</v>
      </c>
      <c r="F184" t="s">
        <v>383</v>
      </c>
      <c r="G184">
        <v>16</v>
      </c>
      <c r="H184">
        <v>688.8</v>
      </c>
      <c r="I184">
        <v>808.96174999999994</v>
      </c>
      <c r="J184">
        <v>792.55550000000005</v>
      </c>
      <c r="K184">
        <v>757.24899999999991</v>
      </c>
      <c r="L184" s="19">
        <v>45656</v>
      </c>
      <c r="M184" s="19">
        <v>45694</v>
      </c>
      <c r="N184" s="19">
        <v>45716</v>
      </c>
      <c r="O184">
        <v>700.9</v>
      </c>
      <c r="P184">
        <v>701.35</v>
      </c>
      <c r="Q184">
        <v>682.6</v>
      </c>
      <c r="R184">
        <v>15780609</v>
      </c>
      <c r="S184">
        <v>12778194.550000001</v>
      </c>
      <c r="T184" t="s">
        <v>384</v>
      </c>
      <c r="U184">
        <v>24.954487420668471</v>
      </c>
    </row>
    <row r="185" spans="1:21" x14ac:dyDescent="0.25">
      <c r="A185" t="s">
        <v>47</v>
      </c>
      <c r="B185">
        <v>-24.916986159828149</v>
      </c>
      <c r="C185">
        <v>-1.508760545100577</v>
      </c>
      <c r="D185" t="s">
        <v>383</v>
      </c>
      <c r="E185">
        <v>45</v>
      </c>
      <c r="F185" t="s">
        <v>383</v>
      </c>
      <c r="G185">
        <v>49</v>
      </c>
      <c r="H185">
        <v>607.1</v>
      </c>
      <c r="I185">
        <v>817.45700000000011</v>
      </c>
      <c r="J185">
        <v>754.08399999999995</v>
      </c>
      <c r="K185">
        <v>717.02100000000007</v>
      </c>
      <c r="L185" s="19">
        <v>45656</v>
      </c>
      <c r="M185" s="19">
        <v>45649</v>
      </c>
      <c r="N185" s="19">
        <v>45716</v>
      </c>
      <c r="O185">
        <v>608.35</v>
      </c>
      <c r="P185">
        <v>613.95000000000005</v>
      </c>
      <c r="Q185">
        <v>595.04999999999995</v>
      </c>
      <c r="R185">
        <v>172583</v>
      </c>
      <c r="S185">
        <v>229856.25</v>
      </c>
      <c r="T185" t="s">
        <v>384</v>
      </c>
      <c r="U185">
        <v>34.097947074610147</v>
      </c>
    </row>
    <row r="186" spans="1:21" x14ac:dyDescent="0.25">
      <c r="A186" t="s">
        <v>62</v>
      </c>
      <c r="B186">
        <v>60.177987507549069</v>
      </c>
      <c r="C186">
        <v>-3.007185746628612</v>
      </c>
      <c r="D186" t="s">
        <v>383</v>
      </c>
      <c r="E186">
        <v>45</v>
      </c>
      <c r="F186" t="s">
        <v>383</v>
      </c>
      <c r="G186">
        <v>52</v>
      </c>
      <c r="H186">
        <v>197.07</v>
      </c>
      <c r="I186">
        <v>246.3192</v>
      </c>
      <c r="J186">
        <v>236.36369999999999</v>
      </c>
      <c r="K186">
        <v>222.90039999999999</v>
      </c>
      <c r="L186" s="19">
        <v>45656</v>
      </c>
      <c r="M186" s="19">
        <v>45644</v>
      </c>
      <c r="N186" s="19">
        <v>45716</v>
      </c>
      <c r="O186">
        <v>202</v>
      </c>
      <c r="P186">
        <v>202</v>
      </c>
      <c r="Q186">
        <v>196.01</v>
      </c>
      <c r="R186">
        <v>14293523</v>
      </c>
      <c r="S186">
        <v>8923525.1500000004</v>
      </c>
      <c r="T186" t="s">
        <v>384</v>
      </c>
      <c r="U186">
        <v>30.593370130959219</v>
      </c>
    </row>
    <row r="187" spans="1:21" x14ac:dyDescent="0.25">
      <c r="A187" t="s">
        <v>240</v>
      </c>
      <c r="B187">
        <v>6.4073752885231148</v>
      </c>
      <c r="C187">
        <v>-0.98126672613738797</v>
      </c>
      <c r="D187" t="s">
        <v>383</v>
      </c>
      <c r="E187">
        <v>46</v>
      </c>
      <c r="F187" t="s">
        <v>383</v>
      </c>
      <c r="G187">
        <v>3</v>
      </c>
      <c r="H187">
        <v>177.6</v>
      </c>
      <c r="I187">
        <v>201.97545</v>
      </c>
      <c r="J187">
        <v>216.0076</v>
      </c>
      <c r="K187">
        <v>198.6112</v>
      </c>
      <c r="L187" s="19">
        <v>45653</v>
      </c>
      <c r="M187" s="19">
        <v>45713</v>
      </c>
      <c r="N187" s="19">
        <v>45716</v>
      </c>
      <c r="O187">
        <v>176.81</v>
      </c>
      <c r="P187">
        <v>180</v>
      </c>
      <c r="Q187">
        <v>174.5</v>
      </c>
      <c r="R187">
        <v>12648002</v>
      </c>
      <c r="S187">
        <v>11886396</v>
      </c>
      <c r="T187" t="s">
        <v>386</v>
      </c>
      <c r="U187">
        <v>40.017000095312262</v>
      </c>
    </row>
    <row r="188" spans="1:21" x14ac:dyDescent="0.25">
      <c r="A188" t="s">
        <v>170</v>
      </c>
      <c r="B188">
        <v>-12.940386887863969</v>
      </c>
      <c r="C188">
        <v>-5.5555555555555403</v>
      </c>
      <c r="D188" t="s">
        <v>383</v>
      </c>
      <c r="E188">
        <v>46</v>
      </c>
      <c r="F188" t="s">
        <v>383</v>
      </c>
      <c r="G188">
        <v>6</v>
      </c>
      <c r="H188">
        <v>264.35000000000002</v>
      </c>
      <c r="I188">
        <v>363.66950000000003</v>
      </c>
      <c r="J188">
        <v>338.94450000000012</v>
      </c>
      <c r="K188">
        <v>315.24099999999999</v>
      </c>
      <c r="L188" s="19">
        <v>45653</v>
      </c>
      <c r="M188" s="19">
        <v>45708</v>
      </c>
      <c r="N188" s="19">
        <v>45716</v>
      </c>
      <c r="O188">
        <v>273</v>
      </c>
      <c r="P188">
        <v>277.14999999999998</v>
      </c>
      <c r="Q188">
        <v>256</v>
      </c>
      <c r="R188">
        <v>687635</v>
      </c>
      <c r="S188">
        <v>789843.85</v>
      </c>
      <c r="T188" t="s">
        <v>384</v>
      </c>
      <c r="U188">
        <v>35.695218315714257</v>
      </c>
    </row>
    <row r="189" spans="1:21" x14ac:dyDescent="0.25">
      <c r="A189" t="s">
        <v>105</v>
      </c>
      <c r="B189">
        <v>27.28603586527845</v>
      </c>
      <c r="C189">
        <v>-1.518144146237552</v>
      </c>
      <c r="D189" t="s">
        <v>383</v>
      </c>
      <c r="E189">
        <v>46</v>
      </c>
      <c r="F189" t="s">
        <v>383</v>
      </c>
      <c r="G189">
        <v>10</v>
      </c>
      <c r="H189">
        <v>1271.45</v>
      </c>
      <c r="I189">
        <v>1540.9179999999999</v>
      </c>
      <c r="J189">
        <v>1471.7825</v>
      </c>
      <c r="K189">
        <v>1406.04</v>
      </c>
      <c r="L189" s="19">
        <v>45653</v>
      </c>
      <c r="M189" s="19">
        <v>45702</v>
      </c>
      <c r="N189" s="19">
        <v>45716</v>
      </c>
      <c r="O189">
        <v>1294.05</v>
      </c>
      <c r="P189">
        <v>1307.5</v>
      </c>
      <c r="Q189">
        <v>1210.5</v>
      </c>
      <c r="R189">
        <v>46169</v>
      </c>
      <c r="S189">
        <v>36271.85</v>
      </c>
      <c r="T189" t="s">
        <v>386</v>
      </c>
      <c r="U189">
        <v>34.519592078655258</v>
      </c>
    </row>
    <row r="190" spans="1:21" x14ac:dyDescent="0.25">
      <c r="A190" t="s">
        <v>149</v>
      </c>
      <c r="B190">
        <v>31.667843892938699</v>
      </c>
      <c r="C190">
        <v>-5.8627931396569837</v>
      </c>
      <c r="D190" t="s">
        <v>383</v>
      </c>
      <c r="E190">
        <v>46</v>
      </c>
      <c r="F190" t="s">
        <v>383</v>
      </c>
      <c r="G190">
        <v>13</v>
      </c>
      <c r="H190">
        <v>268.95</v>
      </c>
      <c r="I190">
        <v>351.30475000000013</v>
      </c>
      <c r="J190">
        <v>356.69699999999989</v>
      </c>
      <c r="K190">
        <v>340.05399999999992</v>
      </c>
      <c r="L190" s="19">
        <v>45653</v>
      </c>
      <c r="M190" s="19">
        <v>45699</v>
      </c>
      <c r="N190" s="19">
        <v>45716</v>
      </c>
      <c r="O190">
        <v>283.64999999999998</v>
      </c>
      <c r="P190">
        <v>283.64999999999998</v>
      </c>
      <c r="Q190">
        <v>264.05</v>
      </c>
      <c r="R190">
        <v>192002</v>
      </c>
      <c r="S190">
        <v>145823</v>
      </c>
      <c r="T190" t="s">
        <v>384</v>
      </c>
      <c r="U190">
        <v>25.280314749848511</v>
      </c>
    </row>
    <row r="191" spans="1:21" x14ac:dyDescent="0.25">
      <c r="A191" t="s">
        <v>302</v>
      </c>
      <c r="B191">
        <v>-19.631503631088769</v>
      </c>
      <c r="C191">
        <v>-2.5824597289695679</v>
      </c>
      <c r="D191" t="s">
        <v>383</v>
      </c>
      <c r="E191">
        <v>46</v>
      </c>
      <c r="F191" t="s">
        <v>383</v>
      </c>
      <c r="G191">
        <v>26</v>
      </c>
      <c r="H191">
        <v>38.1</v>
      </c>
      <c r="I191">
        <v>54.67295</v>
      </c>
      <c r="J191">
        <v>48.072600000000001</v>
      </c>
      <c r="K191">
        <v>45.349200000000003</v>
      </c>
      <c r="L191" s="19">
        <v>45653</v>
      </c>
      <c r="M191" s="19">
        <v>45681</v>
      </c>
      <c r="N191" s="19">
        <v>45716</v>
      </c>
      <c r="O191">
        <v>38.01</v>
      </c>
      <c r="P191">
        <v>39.71</v>
      </c>
      <c r="Q191">
        <v>37.75</v>
      </c>
      <c r="R191">
        <v>1882975</v>
      </c>
      <c r="S191">
        <v>2342926.75</v>
      </c>
      <c r="T191" t="s">
        <v>384</v>
      </c>
      <c r="U191">
        <v>40.024376459070858</v>
      </c>
    </row>
    <row r="192" spans="1:21" x14ac:dyDescent="0.25">
      <c r="A192" t="s">
        <v>274</v>
      </c>
      <c r="B192">
        <v>-11.08003251881974</v>
      </c>
      <c r="C192">
        <v>-5.5275537634408751</v>
      </c>
      <c r="D192" t="s">
        <v>383</v>
      </c>
      <c r="E192">
        <v>46</v>
      </c>
      <c r="F192" t="s">
        <v>383</v>
      </c>
      <c r="G192">
        <v>27</v>
      </c>
      <c r="H192">
        <v>281.14999999999998</v>
      </c>
      <c r="I192">
        <v>427.44799999999998</v>
      </c>
      <c r="J192">
        <v>388.67649999999992</v>
      </c>
      <c r="K192">
        <v>366.84199999999998</v>
      </c>
      <c r="L192" s="19">
        <v>45653</v>
      </c>
      <c r="M192" s="19">
        <v>45680</v>
      </c>
      <c r="N192" s="19">
        <v>45716</v>
      </c>
      <c r="O192">
        <v>291.5</v>
      </c>
      <c r="P192">
        <v>294.60000000000002</v>
      </c>
      <c r="Q192">
        <v>275.2</v>
      </c>
      <c r="R192">
        <v>2244463</v>
      </c>
      <c r="S192">
        <v>2524138.35</v>
      </c>
      <c r="T192" t="s">
        <v>384</v>
      </c>
      <c r="U192">
        <v>28.804946250902422</v>
      </c>
    </row>
    <row r="193" spans="1:21" x14ac:dyDescent="0.25">
      <c r="A193" t="s">
        <v>332</v>
      </c>
      <c r="B193">
        <v>12.572171755510899</v>
      </c>
      <c r="C193">
        <v>-4.6911791342148046</v>
      </c>
      <c r="D193" t="s">
        <v>383</v>
      </c>
      <c r="E193">
        <v>46</v>
      </c>
      <c r="F193" t="s">
        <v>383</v>
      </c>
      <c r="G193">
        <v>28</v>
      </c>
      <c r="H193">
        <v>157.86000000000001</v>
      </c>
      <c r="I193">
        <v>246.60785000000001</v>
      </c>
      <c r="J193">
        <v>255.166</v>
      </c>
      <c r="K193">
        <v>232.29300000000001</v>
      </c>
      <c r="L193" s="19">
        <v>45653</v>
      </c>
      <c r="M193" s="19">
        <v>45679</v>
      </c>
      <c r="N193" s="19">
        <v>45716</v>
      </c>
      <c r="O193">
        <v>165</v>
      </c>
      <c r="P193">
        <v>165.32</v>
      </c>
      <c r="Q193">
        <v>154.44999999999999</v>
      </c>
      <c r="R193">
        <v>146366</v>
      </c>
      <c r="S193">
        <v>130019.7</v>
      </c>
      <c r="T193" t="s">
        <v>386</v>
      </c>
      <c r="U193">
        <v>26.69869053212344</v>
      </c>
    </row>
    <row r="194" spans="1:21" x14ac:dyDescent="0.25">
      <c r="A194" t="s">
        <v>251</v>
      </c>
      <c r="B194">
        <v>-16.631317100584369</v>
      </c>
      <c r="C194">
        <v>2.4177949709856351E-2</v>
      </c>
      <c r="D194" t="s">
        <v>383</v>
      </c>
      <c r="E194">
        <v>46</v>
      </c>
      <c r="F194" t="s">
        <v>383</v>
      </c>
      <c r="G194">
        <v>40</v>
      </c>
      <c r="H194">
        <v>206.85</v>
      </c>
      <c r="I194">
        <v>295.0575</v>
      </c>
      <c r="J194">
        <v>267.85500000000002</v>
      </c>
      <c r="K194">
        <v>254.40600000000001</v>
      </c>
      <c r="L194" s="19">
        <v>45653</v>
      </c>
      <c r="M194" s="19">
        <v>45663</v>
      </c>
      <c r="N194" s="19">
        <v>45716</v>
      </c>
      <c r="O194">
        <v>203.7</v>
      </c>
      <c r="P194">
        <v>209</v>
      </c>
      <c r="Q194">
        <v>201.1</v>
      </c>
      <c r="R194">
        <v>146123</v>
      </c>
      <c r="S194">
        <v>175273.25</v>
      </c>
      <c r="T194" t="s">
        <v>384</v>
      </c>
      <c r="U194">
        <v>31.63550230709842</v>
      </c>
    </row>
    <row r="195" spans="1:21" x14ac:dyDescent="0.25">
      <c r="A195" t="s">
        <v>131</v>
      </c>
      <c r="B195">
        <v>160.8684567829734</v>
      </c>
      <c r="C195">
        <v>-6.6737229123725648</v>
      </c>
      <c r="D195" t="s">
        <v>383</v>
      </c>
      <c r="E195">
        <v>47</v>
      </c>
      <c r="F195" t="s">
        <v>383</v>
      </c>
      <c r="G195">
        <v>13</v>
      </c>
      <c r="H195">
        <v>167.53</v>
      </c>
      <c r="I195">
        <v>217.47280000000001</v>
      </c>
      <c r="J195">
        <v>204.01650000000001</v>
      </c>
      <c r="K195">
        <v>198.8664</v>
      </c>
      <c r="L195" s="19">
        <v>45652</v>
      </c>
      <c r="M195" s="19">
        <v>45699</v>
      </c>
      <c r="N195" s="19">
        <v>45716</v>
      </c>
      <c r="O195">
        <v>178.75</v>
      </c>
      <c r="P195">
        <v>178.96</v>
      </c>
      <c r="Q195">
        <v>165</v>
      </c>
      <c r="R195">
        <v>3294880</v>
      </c>
      <c r="S195">
        <v>1263042.7</v>
      </c>
      <c r="T195" t="s">
        <v>384</v>
      </c>
      <c r="U195">
        <v>25.136431440294331</v>
      </c>
    </row>
    <row r="196" spans="1:21" x14ac:dyDescent="0.25">
      <c r="A196" t="s">
        <v>220</v>
      </c>
      <c r="B196">
        <v>55.339015294512997</v>
      </c>
      <c r="C196">
        <v>0.1779095626389986</v>
      </c>
      <c r="D196" t="s">
        <v>383</v>
      </c>
      <c r="E196">
        <v>47</v>
      </c>
      <c r="F196" t="s">
        <v>383</v>
      </c>
      <c r="G196">
        <v>27</v>
      </c>
      <c r="H196">
        <v>337.85</v>
      </c>
      <c r="I196">
        <v>531.32839999999999</v>
      </c>
      <c r="J196">
        <v>463.69150000000002</v>
      </c>
      <c r="K196">
        <v>417.339</v>
      </c>
      <c r="L196" s="19">
        <v>45652</v>
      </c>
      <c r="M196" s="19">
        <v>45680</v>
      </c>
      <c r="N196" s="19">
        <v>45716</v>
      </c>
      <c r="O196">
        <v>335</v>
      </c>
      <c r="P196">
        <v>344</v>
      </c>
      <c r="Q196">
        <v>322.7</v>
      </c>
      <c r="R196">
        <v>104927</v>
      </c>
      <c r="S196">
        <v>67547.100000000006</v>
      </c>
      <c r="T196" t="s">
        <v>384</v>
      </c>
      <c r="U196">
        <v>28.629193704412241</v>
      </c>
    </row>
    <row r="197" spans="1:21" x14ac:dyDescent="0.25">
      <c r="A197" t="s">
        <v>183</v>
      </c>
      <c r="B197">
        <v>13.727099831304329</v>
      </c>
      <c r="C197">
        <v>0.84195755130678018</v>
      </c>
      <c r="D197" t="s">
        <v>383</v>
      </c>
      <c r="E197">
        <v>47</v>
      </c>
      <c r="F197" t="s">
        <v>383</v>
      </c>
      <c r="G197">
        <v>50</v>
      </c>
      <c r="H197">
        <v>287.45</v>
      </c>
      <c r="I197">
        <v>445.15724999999998</v>
      </c>
      <c r="J197">
        <v>413.1515</v>
      </c>
      <c r="K197">
        <v>371.57200000000012</v>
      </c>
      <c r="L197" s="19">
        <v>45652</v>
      </c>
      <c r="M197" s="19">
        <v>45646</v>
      </c>
      <c r="N197" s="19">
        <v>45716</v>
      </c>
      <c r="O197">
        <v>283.39999999999998</v>
      </c>
      <c r="P197">
        <v>290.75</v>
      </c>
      <c r="Q197">
        <v>278.2</v>
      </c>
      <c r="R197">
        <v>661515</v>
      </c>
      <c r="S197">
        <v>581668.75</v>
      </c>
      <c r="T197" t="s">
        <v>384</v>
      </c>
      <c r="U197">
        <v>21.33725913188373</v>
      </c>
    </row>
    <row r="198" spans="1:21" x14ac:dyDescent="0.25">
      <c r="A198" t="s">
        <v>160</v>
      </c>
      <c r="B198">
        <v>16.988578261759528</v>
      </c>
      <c r="C198">
        <v>-4.7630795799731782</v>
      </c>
      <c r="D198" t="s">
        <v>383</v>
      </c>
      <c r="E198">
        <v>47</v>
      </c>
      <c r="F198" t="s">
        <v>383</v>
      </c>
      <c r="G198">
        <v>51</v>
      </c>
      <c r="H198">
        <v>3088.2</v>
      </c>
      <c r="I198">
        <v>4483.2822500000002</v>
      </c>
      <c r="J198">
        <v>4106.9934999999996</v>
      </c>
      <c r="K198">
        <v>3821.7910000000002</v>
      </c>
      <c r="L198" s="19">
        <v>45652</v>
      </c>
      <c r="M198" s="19">
        <v>45645</v>
      </c>
      <c r="N198" s="19">
        <v>45716</v>
      </c>
      <c r="O198">
        <v>3202</v>
      </c>
      <c r="P198">
        <v>3224.8</v>
      </c>
      <c r="Q198">
        <v>3080</v>
      </c>
      <c r="R198">
        <v>2413864</v>
      </c>
      <c r="S198">
        <v>2063333.05</v>
      </c>
      <c r="T198" t="s">
        <v>384</v>
      </c>
      <c r="U198">
        <v>27.366806214067861</v>
      </c>
    </row>
    <row r="199" spans="1:21" x14ac:dyDescent="0.25">
      <c r="A199" t="s">
        <v>216</v>
      </c>
      <c r="B199">
        <v>28.04086866302471</v>
      </c>
      <c r="C199">
        <v>-0.35516969218626898</v>
      </c>
      <c r="D199" t="s">
        <v>383</v>
      </c>
      <c r="E199">
        <v>47</v>
      </c>
      <c r="F199" t="s">
        <v>383</v>
      </c>
      <c r="G199">
        <v>51</v>
      </c>
      <c r="H199">
        <v>252.5</v>
      </c>
      <c r="I199">
        <v>376.33924999999988</v>
      </c>
      <c r="J199">
        <v>340.56799999999998</v>
      </c>
      <c r="K199">
        <v>315.03300000000002</v>
      </c>
      <c r="L199" s="19">
        <v>45652</v>
      </c>
      <c r="M199" s="19">
        <v>45645</v>
      </c>
      <c r="N199" s="19">
        <v>45716</v>
      </c>
      <c r="O199">
        <v>250</v>
      </c>
      <c r="P199">
        <v>255.25</v>
      </c>
      <c r="Q199">
        <v>250</v>
      </c>
      <c r="R199">
        <v>75342</v>
      </c>
      <c r="S199">
        <v>58842.15</v>
      </c>
      <c r="T199" t="s">
        <v>384</v>
      </c>
      <c r="U199">
        <v>28.597478516392481</v>
      </c>
    </row>
    <row r="200" spans="1:21" x14ac:dyDescent="0.25">
      <c r="A200" t="s">
        <v>163</v>
      </c>
      <c r="B200">
        <v>-9.3907404317016727</v>
      </c>
      <c r="C200">
        <v>-4.4426970709651989</v>
      </c>
      <c r="D200" t="s">
        <v>383</v>
      </c>
      <c r="E200">
        <v>47</v>
      </c>
      <c r="F200" t="s">
        <v>383</v>
      </c>
      <c r="G200">
        <v>52</v>
      </c>
      <c r="H200">
        <v>243.05</v>
      </c>
      <c r="I200">
        <v>391.05349999999999</v>
      </c>
      <c r="J200">
        <v>351.6585</v>
      </c>
      <c r="K200">
        <v>320.76600000000002</v>
      </c>
      <c r="L200" s="19">
        <v>45652</v>
      </c>
      <c r="M200" s="19">
        <v>45644</v>
      </c>
      <c r="N200" s="19">
        <v>45716</v>
      </c>
      <c r="O200">
        <v>252.8</v>
      </c>
      <c r="P200">
        <v>252.8</v>
      </c>
      <c r="Q200">
        <v>241.05</v>
      </c>
      <c r="R200">
        <v>50495</v>
      </c>
      <c r="S200">
        <v>55728.3</v>
      </c>
      <c r="T200" t="s">
        <v>384</v>
      </c>
      <c r="U200">
        <v>20.70108792831395</v>
      </c>
    </row>
    <row r="201" spans="1:21" x14ac:dyDescent="0.25">
      <c r="A201" t="s">
        <v>156</v>
      </c>
      <c r="B201">
        <v>43.442903528399619</v>
      </c>
      <c r="C201">
        <v>-1.640099761440035</v>
      </c>
      <c r="D201" t="s">
        <v>383</v>
      </c>
      <c r="E201">
        <v>48</v>
      </c>
      <c r="F201" t="s">
        <v>383</v>
      </c>
      <c r="G201">
        <v>13</v>
      </c>
      <c r="H201">
        <v>3628.3</v>
      </c>
      <c r="I201">
        <v>4158.0597499999994</v>
      </c>
      <c r="J201">
        <v>4170.5590000000002</v>
      </c>
      <c r="K201">
        <v>3940.6460000000002</v>
      </c>
      <c r="L201" s="19">
        <v>45650</v>
      </c>
      <c r="M201" s="19">
        <v>45699</v>
      </c>
      <c r="N201" s="19">
        <v>45716</v>
      </c>
      <c r="O201">
        <v>3671.05</v>
      </c>
      <c r="P201">
        <v>3677.85</v>
      </c>
      <c r="Q201">
        <v>3601</v>
      </c>
      <c r="R201">
        <v>635909</v>
      </c>
      <c r="S201">
        <v>443318.55</v>
      </c>
      <c r="T201" t="s">
        <v>386</v>
      </c>
      <c r="U201">
        <v>36.511624221006201</v>
      </c>
    </row>
    <row r="202" spans="1:21" x14ac:dyDescent="0.25">
      <c r="A202" t="s">
        <v>63</v>
      </c>
      <c r="B202">
        <v>-17.800236463688901</v>
      </c>
      <c r="C202">
        <v>-2.9485570890840731</v>
      </c>
      <c r="D202" t="s">
        <v>383</v>
      </c>
      <c r="E202">
        <v>49</v>
      </c>
      <c r="F202" t="s">
        <v>383</v>
      </c>
      <c r="G202">
        <v>3</v>
      </c>
      <c r="H202">
        <v>46.41</v>
      </c>
      <c r="I202">
        <v>58.0426</v>
      </c>
      <c r="J202">
        <v>52.364100000000008</v>
      </c>
      <c r="K202">
        <v>50.513399999999997</v>
      </c>
      <c r="L202" s="19">
        <v>45649</v>
      </c>
      <c r="M202" s="19">
        <v>45713</v>
      </c>
      <c r="N202" s="19">
        <v>45716</v>
      </c>
      <c r="O202">
        <v>47.29</v>
      </c>
      <c r="P202">
        <v>47.4</v>
      </c>
      <c r="Q202">
        <v>46.21</v>
      </c>
      <c r="R202">
        <v>6662019</v>
      </c>
      <c r="S202">
        <v>8104669.2999999998</v>
      </c>
      <c r="T202" t="s">
        <v>384</v>
      </c>
      <c r="U202">
        <v>35.727496511123391</v>
      </c>
    </row>
    <row r="203" spans="1:21" x14ac:dyDescent="0.25">
      <c r="A203" t="s">
        <v>231</v>
      </c>
      <c r="B203">
        <v>-60.313967830861273</v>
      </c>
      <c r="C203">
        <v>-3.245504228620284</v>
      </c>
      <c r="D203" t="s">
        <v>383</v>
      </c>
      <c r="E203">
        <v>49</v>
      </c>
      <c r="F203" t="s">
        <v>383</v>
      </c>
      <c r="G203">
        <v>13</v>
      </c>
      <c r="H203">
        <v>1584.5</v>
      </c>
      <c r="I203">
        <v>2027.8367499999999</v>
      </c>
      <c r="J203">
        <v>1999.1675</v>
      </c>
      <c r="K203">
        <v>1846.921</v>
      </c>
      <c r="L203" s="19">
        <v>45649</v>
      </c>
      <c r="M203" s="19">
        <v>45699</v>
      </c>
      <c r="N203" s="19">
        <v>45716</v>
      </c>
      <c r="O203">
        <v>1612</v>
      </c>
      <c r="P203">
        <v>1629.15</v>
      </c>
      <c r="Q203">
        <v>1564</v>
      </c>
      <c r="R203">
        <v>94288</v>
      </c>
      <c r="S203">
        <v>237584.85</v>
      </c>
      <c r="T203" t="s">
        <v>386</v>
      </c>
      <c r="U203">
        <v>28.49099520392156</v>
      </c>
    </row>
    <row r="204" spans="1:21" x14ac:dyDescent="0.25">
      <c r="A204" t="s">
        <v>76</v>
      </c>
      <c r="B204">
        <v>60.218319249688982</v>
      </c>
      <c r="C204">
        <v>-0.7872750642673485</v>
      </c>
      <c r="D204" t="s">
        <v>383</v>
      </c>
      <c r="E204">
        <v>49</v>
      </c>
      <c r="F204" t="s">
        <v>383</v>
      </c>
      <c r="G204">
        <v>14</v>
      </c>
      <c r="H204">
        <v>308.75</v>
      </c>
      <c r="I204">
        <v>394.28224999999998</v>
      </c>
      <c r="J204">
        <v>411.38350000000003</v>
      </c>
      <c r="K204">
        <v>375.27699999999999</v>
      </c>
      <c r="L204" s="19">
        <v>45649</v>
      </c>
      <c r="M204" s="19">
        <v>45698</v>
      </c>
      <c r="N204" s="19">
        <v>45716</v>
      </c>
      <c r="O204">
        <v>314</v>
      </c>
      <c r="P204">
        <v>314</v>
      </c>
      <c r="Q204">
        <v>294.10000000000002</v>
      </c>
      <c r="R204">
        <v>419393</v>
      </c>
      <c r="S204">
        <v>261763.45</v>
      </c>
      <c r="T204" t="s">
        <v>386</v>
      </c>
      <c r="U204">
        <v>29.660736814417991</v>
      </c>
    </row>
    <row r="205" spans="1:21" x14ac:dyDescent="0.25">
      <c r="A205" t="s">
        <v>358</v>
      </c>
      <c r="B205">
        <v>285.74942993928272</v>
      </c>
      <c r="C205">
        <v>-3.4647991153704298</v>
      </c>
      <c r="D205" t="s">
        <v>383</v>
      </c>
      <c r="E205">
        <v>49</v>
      </c>
      <c r="F205" t="s">
        <v>383</v>
      </c>
      <c r="G205">
        <v>14</v>
      </c>
      <c r="H205">
        <v>392.85</v>
      </c>
      <c r="I205">
        <v>590.01250000000005</v>
      </c>
      <c r="J205">
        <v>548.35950000000003</v>
      </c>
      <c r="K205">
        <v>517.73399999999992</v>
      </c>
      <c r="L205" s="19">
        <v>45649</v>
      </c>
      <c r="M205" s="19">
        <v>45698</v>
      </c>
      <c r="N205" s="19">
        <v>45716</v>
      </c>
      <c r="O205">
        <v>410.25</v>
      </c>
      <c r="P205">
        <v>410.25</v>
      </c>
      <c r="Q205">
        <v>385.55</v>
      </c>
      <c r="R205">
        <v>793578</v>
      </c>
      <c r="S205">
        <v>205723.7</v>
      </c>
      <c r="T205" t="s">
        <v>384</v>
      </c>
      <c r="U205">
        <v>21.31857070825799</v>
      </c>
    </row>
    <row r="206" spans="1:21" x14ac:dyDescent="0.25">
      <c r="A206" t="s">
        <v>101</v>
      </c>
      <c r="B206">
        <v>171.80178936432881</v>
      </c>
      <c r="C206">
        <v>-7.5222247549578309</v>
      </c>
      <c r="D206" t="s">
        <v>383</v>
      </c>
      <c r="E206">
        <v>49</v>
      </c>
      <c r="F206" t="s">
        <v>383</v>
      </c>
      <c r="G206">
        <v>51</v>
      </c>
      <c r="H206">
        <v>202.85</v>
      </c>
      <c r="I206">
        <v>309.70949999999999</v>
      </c>
      <c r="J206">
        <v>289.2045</v>
      </c>
      <c r="K206">
        <v>260.66899999999998</v>
      </c>
      <c r="L206" s="19">
        <v>45649</v>
      </c>
      <c r="M206" s="19">
        <v>45645</v>
      </c>
      <c r="N206" s="19">
        <v>45716</v>
      </c>
      <c r="O206">
        <v>217.1</v>
      </c>
      <c r="P206">
        <v>217.65</v>
      </c>
      <c r="Q206">
        <v>199.5</v>
      </c>
      <c r="R206">
        <v>1297426</v>
      </c>
      <c r="S206">
        <v>477342.7</v>
      </c>
      <c r="T206" t="s">
        <v>384</v>
      </c>
      <c r="U206">
        <v>32.038554756202331</v>
      </c>
    </row>
    <row r="207" spans="1:21" x14ac:dyDescent="0.25">
      <c r="A207" t="s">
        <v>243</v>
      </c>
      <c r="B207">
        <v>-22.302907259506231</v>
      </c>
      <c r="C207">
        <v>-2.0705092333519799</v>
      </c>
      <c r="D207" t="s">
        <v>383</v>
      </c>
      <c r="E207">
        <v>49</v>
      </c>
      <c r="F207" t="s">
        <v>383</v>
      </c>
      <c r="G207">
        <v>51</v>
      </c>
      <c r="H207">
        <v>175</v>
      </c>
      <c r="I207">
        <v>291.964</v>
      </c>
      <c r="J207">
        <v>267.64150000000001</v>
      </c>
      <c r="K207">
        <v>235.13499999999999</v>
      </c>
      <c r="L207" s="19">
        <v>45649</v>
      </c>
      <c r="M207" s="19">
        <v>45645</v>
      </c>
      <c r="N207" s="19">
        <v>45716</v>
      </c>
      <c r="O207">
        <v>175.7</v>
      </c>
      <c r="P207">
        <v>180</v>
      </c>
      <c r="Q207">
        <v>173.2</v>
      </c>
      <c r="R207">
        <v>7407373</v>
      </c>
      <c r="S207">
        <v>9533655.3000000007</v>
      </c>
      <c r="T207" t="s">
        <v>384</v>
      </c>
      <c r="U207">
        <v>29.090780306548751</v>
      </c>
    </row>
    <row r="208" spans="1:21" x14ac:dyDescent="0.25">
      <c r="A208" t="s">
        <v>344</v>
      </c>
      <c r="B208">
        <v>2.0984715344539171</v>
      </c>
      <c r="C208">
        <v>0.42444821731748728</v>
      </c>
      <c r="D208" t="s">
        <v>383</v>
      </c>
      <c r="E208">
        <v>49</v>
      </c>
      <c r="F208" t="s">
        <v>383</v>
      </c>
      <c r="G208">
        <v>54</v>
      </c>
      <c r="H208">
        <v>295.75</v>
      </c>
      <c r="I208">
        <v>365.721</v>
      </c>
      <c r="J208">
        <v>368.94349999999997</v>
      </c>
      <c r="K208">
        <v>338.279</v>
      </c>
      <c r="L208" s="19">
        <v>45649</v>
      </c>
      <c r="M208" s="19">
        <v>45642</v>
      </c>
      <c r="N208" s="19">
        <v>45716</v>
      </c>
      <c r="O208">
        <v>293.64999999999998</v>
      </c>
      <c r="P208">
        <v>298.8</v>
      </c>
      <c r="Q208">
        <v>286.5</v>
      </c>
      <c r="R208">
        <v>794676</v>
      </c>
      <c r="S208">
        <v>778342.7</v>
      </c>
      <c r="T208" t="s">
        <v>386</v>
      </c>
      <c r="U208">
        <v>38.45085424196742</v>
      </c>
    </row>
    <row r="209" spans="1:21" x14ac:dyDescent="0.25">
      <c r="A209" t="s">
        <v>250</v>
      </c>
      <c r="B209">
        <v>50.629094379609462</v>
      </c>
      <c r="C209">
        <v>-4.1570793066421254</v>
      </c>
      <c r="D209" t="s">
        <v>383</v>
      </c>
      <c r="E209">
        <v>50</v>
      </c>
      <c r="F209" t="s">
        <v>383</v>
      </c>
      <c r="G209">
        <v>1</v>
      </c>
      <c r="H209">
        <v>62.48</v>
      </c>
      <c r="I209">
        <v>75.289649999999995</v>
      </c>
      <c r="J209">
        <v>70.823499999999996</v>
      </c>
      <c r="K209">
        <v>65.521599999999992</v>
      </c>
      <c r="L209" s="19">
        <v>45646</v>
      </c>
      <c r="M209" s="19">
        <v>45716</v>
      </c>
      <c r="N209" s="19">
        <v>45716</v>
      </c>
      <c r="O209">
        <v>64.3</v>
      </c>
      <c r="P209">
        <v>64.39</v>
      </c>
      <c r="Q209">
        <v>61.84</v>
      </c>
      <c r="R209">
        <v>29187533</v>
      </c>
      <c r="S209">
        <v>19377088.550000001</v>
      </c>
      <c r="T209" t="s">
        <v>384</v>
      </c>
      <c r="U209">
        <v>42.985723656014429</v>
      </c>
    </row>
    <row r="210" spans="1:21" x14ac:dyDescent="0.25">
      <c r="A210" t="s">
        <v>290</v>
      </c>
      <c r="B210">
        <v>-59.617514410495573</v>
      </c>
      <c r="C210">
        <v>-1.826947475260098</v>
      </c>
      <c r="D210" t="s">
        <v>383</v>
      </c>
      <c r="E210">
        <v>50</v>
      </c>
      <c r="F210" t="s">
        <v>385</v>
      </c>
      <c r="G210">
        <v>8</v>
      </c>
      <c r="H210">
        <v>386.9</v>
      </c>
      <c r="I210">
        <v>479.60225000000003</v>
      </c>
      <c r="J210">
        <v>431.36250000000001</v>
      </c>
      <c r="K210">
        <v>397.12400000000002</v>
      </c>
      <c r="L210" s="19">
        <v>45646</v>
      </c>
      <c r="M210" s="19">
        <v>45706</v>
      </c>
      <c r="N210" s="19">
        <v>45716</v>
      </c>
      <c r="O210">
        <v>394.05</v>
      </c>
      <c r="P210">
        <v>394.05</v>
      </c>
      <c r="Q210">
        <v>376.5</v>
      </c>
      <c r="R210">
        <v>203755</v>
      </c>
      <c r="S210">
        <v>504562.8</v>
      </c>
      <c r="T210" t="s">
        <v>384</v>
      </c>
      <c r="U210">
        <v>45.405409999222407</v>
      </c>
    </row>
    <row r="211" spans="1:21" x14ac:dyDescent="0.25">
      <c r="A211" t="s">
        <v>118</v>
      </c>
      <c r="B211">
        <v>-19.335787529970379</v>
      </c>
      <c r="C211">
        <v>-1.0275443224342069</v>
      </c>
      <c r="D211" t="s">
        <v>383</v>
      </c>
      <c r="E211">
        <v>50</v>
      </c>
      <c r="F211" t="s">
        <v>383</v>
      </c>
      <c r="G211">
        <v>10</v>
      </c>
      <c r="H211">
        <v>1613.35</v>
      </c>
      <c r="I211">
        <v>1807.73875</v>
      </c>
      <c r="J211">
        <v>1939.3889999999999</v>
      </c>
      <c r="K211">
        <v>1796.875</v>
      </c>
      <c r="L211" s="19">
        <v>45646</v>
      </c>
      <c r="M211" s="19">
        <v>45702</v>
      </c>
      <c r="N211" s="19">
        <v>45716</v>
      </c>
      <c r="O211">
        <v>1611</v>
      </c>
      <c r="P211">
        <v>1630</v>
      </c>
      <c r="Q211">
        <v>1555.5</v>
      </c>
      <c r="R211">
        <v>48009</v>
      </c>
      <c r="S211">
        <v>59517.1</v>
      </c>
      <c r="T211" t="s">
        <v>386</v>
      </c>
      <c r="U211">
        <v>37.952813940445353</v>
      </c>
    </row>
    <row r="212" spans="1:21" x14ac:dyDescent="0.25">
      <c r="A212" t="s">
        <v>281</v>
      </c>
      <c r="B212">
        <v>131.88795091981669</v>
      </c>
      <c r="C212">
        <v>-1.709870388833503</v>
      </c>
      <c r="D212" t="s">
        <v>383</v>
      </c>
      <c r="E212">
        <v>50</v>
      </c>
      <c r="F212" t="s">
        <v>383</v>
      </c>
      <c r="G212">
        <v>25</v>
      </c>
      <c r="H212">
        <v>197.17</v>
      </c>
      <c r="I212">
        <v>271.78915000000001</v>
      </c>
      <c r="J212">
        <v>253.19829999999999</v>
      </c>
      <c r="K212">
        <v>239.6206</v>
      </c>
      <c r="L212" s="19">
        <v>45646</v>
      </c>
      <c r="M212" s="19">
        <v>45684</v>
      </c>
      <c r="N212" s="19">
        <v>45716</v>
      </c>
      <c r="O212">
        <v>197.6</v>
      </c>
      <c r="P212">
        <v>201.85</v>
      </c>
      <c r="Q212">
        <v>190.2</v>
      </c>
      <c r="R212">
        <v>597388</v>
      </c>
      <c r="S212">
        <v>257619.25</v>
      </c>
      <c r="T212" t="s">
        <v>384</v>
      </c>
      <c r="U212">
        <v>31.60176746506453</v>
      </c>
    </row>
    <row r="213" spans="1:21" x14ac:dyDescent="0.25">
      <c r="A213" t="s">
        <v>322</v>
      </c>
      <c r="B213">
        <v>-40.271603850161561</v>
      </c>
      <c r="C213">
        <v>-3.6763620256902381</v>
      </c>
      <c r="D213" t="s">
        <v>383</v>
      </c>
      <c r="E213">
        <v>50</v>
      </c>
      <c r="F213" t="s">
        <v>383</v>
      </c>
      <c r="G213">
        <v>35</v>
      </c>
      <c r="H213">
        <v>652.4</v>
      </c>
      <c r="I213">
        <v>810.41974999999991</v>
      </c>
      <c r="J213">
        <v>832.61450000000002</v>
      </c>
      <c r="K213">
        <v>783.71800000000007</v>
      </c>
      <c r="L213" s="19">
        <v>45646</v>
      </c>
      <c r="M213" s="19">
        <v>45670</v>
      </c>
      <c r="N213" s="19">
        <v>45716</v>
      </c>
      <c r="O213">
        <v>672.65</v>
      </c>
      <c r="P213">
        <v>676.2</v>
      </c>
      <c r="Q213">
        <v>649.15</v>
      </c>
      <c r="R213">
        <v>483184</v>
      </c>
      <c r="S213">
        <v>808968.65</v>
      </c>
      <c r="T213" t="s">
        <v>386</v>
      </c>
      <c r="U213">
        <v>21.314201859334531</v>
      </c>
    </row>
    <row r="214" spans="1:21" x14ac:dyDescent="0.25">
      <c r="A214" t="s">
        <v>324</v>
      </c>
      <c r="B214">
        <v>-11.91691999862239</v>
      </c>
      <c r="C214">
        <v>-0.42518397383483608</v>
      </c>
      <c r="D214" t="s">
        <v>383</v>
      </c>
      <c r="E214">
        <v>50</v>
      </c>
      <c r="F214" t="s">
        <v>383</v>
      </c>
      <c r="G214">
        <v>35</v>
      </c>
      <c r="H214">
        <v>304.45</v>
      </c>
      <c r="I214">
        <v>429.94524999999987</v>
      </c>
      <c r="J214">
        <v>392.5865</v>
      </c>
      <c r="K214">
        <v>369.39699999999999</v>
      </c>
      <c r="L214" s="19">
        <v>45646</v>
      </c>
      <c r="M214" s="19">
        <v>45670</v>
      </c>
      <c r="N214" s="19">
        <v>45716</v>
      </c>
      <c r="O214">
        <v>301.14999999999998</v>
      </c>
      <c r="P214">
        <v>310.95</v>
      </c>
      <c r="Q214">
        <v>292.05</v>
      </c>
      <c r="R214">
        <v>52430</v>
      </c>
      <c r="S214">
        <v>59523.35</v>
      </c>
      <c r="T214" t="s">
        <v>384</v>
      </c>
      <c r="U214">
        <v>32.278985591398211</v>
      </c>
    </row>
    <row r="215" spans="1:21" x14ac:dyDescent="0.25">
      <c r="A215" t="s">
        <v>268</v>
      </c>
      <c r="B215">
        <v>138.12778842966301</v>
      </c>
      <c r="C215">
        <v>-2.107317073170734</v>
      </c>
      <c r="D215" t="s">
        <v>383</v>
      </c>
      <c r="E215">
        <v>50</v>
      </c>
      <c r="F215" t="s">
        <v>383</v>
      </c>
      <c r="G215">
        <v>52</v>
      </c>
      <c r="H215">
        <v>250.85</v>
      </c>
      <c r="I215">
        <v>320.3775</v>
      </c>
      <c r="J215">
        <v>307.03199999999998</v>
      </c>
      <c r="K215">
        <v>288.41300000000001</v>
      </c>
      <c r="L215" s="19">
        <v>45646</v>
      </c>
      <c r="M215" s="19">
        <v>45644</v>
      </c>
      <c r="N215" s="19">
        <v>45716</v>
      </c>
      <c r="O215">
        <v>255.9</v>
      </c>
      <c r="P215">
        <v>257</v>
      </c>
      <c r="Q215">
        <v>247.3</v>
      </c>
      <c r="R215">
        <v>38512868</v>
      </c>
      <c r="S215">
        <v>16173193.5</v>
      </c>
      <c r="T215" t="s">
        <v>384</v>
      </c>
      <c r="U215">
        <v>29.326366393572911</v>
      </c>
    </row>
    <row r="216" spans="1:21" x14ac:dyDescent="0.25">
      <c r="A216" t="s">
        <v>43</v>
      </c>
      <c r="B216">
        <v>-38.401121524511709</v>
      </c>
      <c r="C216">
        <v>-4.9652432969215489E-2</v>
      </c>
      <c r="D216" t="s">
        <v>383</v>
      </c>
      <c r="E216">
        <v>51</v>
      </c>
      <c r="F216" t="s">
        <v>385</v>
      </c>
      <c r="G216">
        <v>2</v>
      </c>
      <c r="H216">
        <v>503.25</v>
      </c>
      <c r="I216">
        <v>660.13649999999996</v>
      </c>
      <c r="J216">
        <v>622.245</v>
      </c>
      <c r="K216">
        <v>571.55399999999997</v>
      </c>
      <c r="L216" s="19">
        <v>45645</v>
      </c>
      <c r="M216" s="19">
        <v>45715</v>
      </c>
      <c r="N216" s="19">
        <v>45716</v>
      </c>
      <c r="O216">
        <v>498.4</v>
      </c>
      <c r="P216">
        <v>511.5</v>
      </c>
      <c r="Q216">
        <v>476.5</v>
      </c>
      <c r="R216">
        <v>656081</v>
      </c>
      <c r="S216">
        <v>1065085.95</v>
      </c>
      <c r="T216" t="s">
        <v>384</v>
      </c>
      <c r="U216">
        <v>46.897423832713898</v>
      </c>
    </row>
    <row r="217" spans="1:21" x14ac:dyDescent="0.25">
      <c r="A217" t="s">
        <v>303</v>
      </c>
      <c r="B217">
        <v>-23.437358472161261</v>
      </c>
      <c r="C217">
        <v>-1.854882705946524</v>
      </c>
      <c r="D217" t="s">
        <v>383</v>
      </c>
      <c r="E217">
        <v>51</v>
      </c>
      <c r="F217" t="s">
        <v>383</v>
      </c>
      <c r="G217">
        <v>19</v>
      </c>
      <c r="H217">
        <v>269.85000000000002</v>
      </c>
      <c r="I217">
        <v>328.47574999999989</v>
      </c>
      <c r="J217">
        <v>320.98750000000001</v>
      </c>
      <c r="K217">
        <v>306.947</v>
      </c>
      <c r="L217" s="19">
        <v>45645</v>
      </c>
      <c r="M217" s="19">
        <v>45691</v>
      </c>
      <c r="N217" s="19">
        <v>45716</v>
      </c>
      <c r="O217">
        <v>274</v>
      </c>
      <c r="P217">
        <v>275.75</v>
      </c>
      <c r="Q217">
        <v>267.10000000000002</v>
      </c>
      <c r="R217">
        <v>65931</v>
      </c>
      <c r="S217">
        <v>86113.8</v>
      </c>
      <c r="T217" t="s">
        <v>384</v>
      </c>
      <c r="U217">
        <v>36.798262191292153</v>
      </c>
    </row>
    <row r="218" spans="1:21" x14ac:dyDescent="0.25">
      <c r="A218" t="s">
        <v>306</v>
      </c>
      <c r="B218">
        <v>9.4192850136977029</v>
      </c>
      <c r="C218">
        <v>1.001935557326662</v>
      </c>
      <c r="D218" t="s">
        <v>383</v>
      </c>
      <c r="E218">
        <v>51</v>
      </c>
      <c r="F218" t="s">
        <v>383</v>
      </c>
      <c r="G218">
        <v>53</v>
      </c>
      <c r="H218">
        <v>443.55</v>
      </c>
      <c r="I218">
        <v>676.07475000000011</v>
      </c>
      <c r="J218">
        <v>612.25900000000001</v>
      </c>
      <c r="K218">
        <v>544.43100000000004</v>
      </c>
      <c r="L218" s="19">
        <v>45645</v>
      </c>
      <c r="M218" s="19">
        <v>45643</v>
      </c>
      <c r="N218" s="19">
        <v>45716</v>
      </c>
      <c r="O218">
        <v>432.7</v>
      </c>
      <c r="P218">
        <v>450</v>
      </c>
      <c r="Q218">
        <v>428</v>
      </c>
      <c r="R218">
        <v>32352</v>
      </c>
      <c r="S218">
        <v>29567</v>
      </c>
      <c r="T218" t="s">
        <v>384</v>
      </c>
      <c r="U218">
        <v>31.60779139136822</v>
      </c>
    </row>
    <row r="219" spans="1:21" x14ac:dyDescent="0.25">
      <c r="A219" t="s">
        <v>125</v>
      </c>
      <c r="B219">
        <v>56.537959107413862</v>
      </c>
      <c r="C219">
        <v>-1.2724403235352171</v>
      </c>
      <c r="D219" t="s">
        <v>383</v>
      </c>
      <c r="E219">
        <v>52</v>
      </c>
      <c r="F219" t="s">
        <v>383</v>
      </c>
      <c r="G219">
        <v>16</v>
      </c>
      <c r="H219">
        <v>3503.15</v>
      </c>
      <c r="I219">
        <v>4864.3947500000004</v>
      </c>
      <c r="J219">
        <v>4642.5514999999996</v>
      </c>
      <c r="K219">
        <v>4294.6210000000001</v>
      </c>
      <c r="L219" s="19">
        <v>45644</v>
      </c>
      <c r="M219" s="19">
        <v>45694</v>
      </c>
      <c r="N219" s="19">
        <v>45716</v>
      </c>
      <c r="O219">
        <v>3551.4</v>
      </c>
      <c r="P219">
        <v>3569.95</v>
      </c>
      <c r="Q219">
        <v>3407</v>
      </c>
      <c r="R219">
        <v>51108</v>
      </c>
      <c r="S219">
        <v>32648.95</v>
      </c>
      <c r="T219" t="s">
        <v>384</v>
      </c>
      <c r="U219">
        <v>17.18637820676264</v>
      </c>
    </row>
    <row r="220" spans="1:21" x14ac:dyDescent="0.25">
      <c r="A220" t="s">
        <v>276</v>
      </c>
      <c r="B220">
        <v>-24.941985590442918</v>
      </c>
      <c r="C220">
        <v>-2.6880913050007482</v>
      </c>
      <c r="D220" t="s">
        <v>383</v>
      </c>
      <c r="E220">
        <v>52</v>
      </c>
      <c r="F220" t="s">
        <v>383</v>
      </c>
      <c r="G220">
        <v>28</v>
      </c>
      <c r="H220">
        <v>648</v>
      </c>
      <c r="I220">
        <v>884.70299999999997</v>
      </c>
      <c r="J220">
        <v>885.35200000000009</v>
      </c>
      <c r="K220">
        <v>814.1579999999999</v>
      </c>
      <c r="L220" s="19">
        <v>45644</v>
      </c>
      <c r="M220" s="19">
        <v>45679</v>
      </c>
      <c r="N220" s="19">
        <v>45716</v>
      </c>
      <c r="O220">
        <v>660</v>
      </c>
      <c r="P220">
        <v>664.55</v>
      </c>
      <c r="Q220">
        <v>636.15</v>
      </c>
      <c r="R220">
        <v>481756</v>
      </c>
      <c r="S220">
        <v>641844.85</v>
      </c>
      <c r="T220" t="s">
        <v>386</v>
      </c>
      <c r="U220">
        <v>32.507933009036108</v>
      </c>
    </row>
    <row r="221" spans="1:21" x14ac:dyDescent="0.25">
      <c r="A221" t="s">
        <v>224</v>
      </c>
      <c r="B221">
        <v>96.563907848713868</v>
      </c>
      <c r="C221">
        <v>-3.505233842312486</v>
      </c>
      <c r="D221" t="s">
        <v>385</v>
      </c>
      <c r="E221">
        <v>53</v>
      </c>
      <c r="F221" t="s">
        <v>385</v>
      </c>
      <c r="G221">
        <v>6</v>
      </c>
      <c r="H221">
        <v>200.96</v>
      </c>
      <c r="I221">
        <v>189.0641</v>
      </c>
      <c r="J221">
        <v>177.92769999999999</v>
      </c>
      <c r="K221">
        <v>192.31479999999999</v>
      </c>
      <c r="L221" s="19">
        <v>45643</v>
      </c>
      <c r="M221" s="19">
        <v>45708</v>
      </c>
      <c r="N221" s="19">
        <v>45716</v>
      </c>
      <c r="O221">
        <v>205</v>
      </c>
      <c r="P221">
        <v>206</v>
      </c>
      <c r="Q221">
        <v>195.6</v>
      </c>
      <c r="R221">
        <v>34821415</v>
      </c>
      <c r="S221">
        <v>17715060.399999999</v>
      </c>
      <c r="T221" t="s">
        <v>384</v>
      </c>
      <c r="U221">
        <v>52.691161959147273</v>
      </c>
    </row>
    <row r="222" spans="1:21" x14ac:dyDescent="0.25">
      <c r="A222" t="s">
        <v>55</v>
      </c>
      <c r="B222">
        <v>25.82270005497724</v>
      </c>
      <c r="C222">
        <v>-2.0113952259517118</v>
      </c>
      <c r="D222" t="s">
        <v>385</v>
      </c>
      <c r="E222">
        <v>53</v>
      </c>
      <c r="F222" t="s">
        <v>385</v>
      </c>
      <c r="G222">
        <v>42</v>
      </c>
      <c r="H222">
        <v>8530.2999999999993</v>
      </c>
      <c r="I222">
        <v>7171.7019999999993</v>
      </c>
      <c r="J222">
        <v>7298.5130000000008</v>
      </c>
      <c r="K222">
        <v>7719.4280000000008</v>
      </c>
      <c r="L222" s="19">
        <v>45643</v>
      </c>
      <c r="M222" s="19">
        <v>45659</v>
      </c>
      <c r="N222" s="19">
        <v>45716</v>
      </c>
      <c r="O222">
        <v>8665</v>
      </c>
      <c r="P222">
        <v>8670</v>
      </c>
      <c r="Q222">
        <v>8510.0499999999993</v>
      </c>
      <c r="R222">
        <v>1754580</v>
      </c>
      <c r="S222">
        <v>1394486.05</v>
      </c>
      <c r="T222" t="s">
        <v>386</v>
      </c>
      <c r="U222">
        <v>63.489285797421431</v>
      </c>
    </row>
    <row r="223" spans="1:21" x14ac:dyDescent="0.25">
      <c r="A223" t="s">
        <v>130</v>
      </c>
      <c r="B223">
        <v>93.948121770702414</v>
      </c>
      <c r="C223">
        <v>0.46467472769061419</v>
      </c>
      <c r="D223" t="s">
        <v>383</v>
      </c>
      <c r="E223">
        <v>53</v>
      </c>
      <c r="F223" t="s">
        <v>383</v>
      </c>
      <c r="G223">
        <v>56</v>
      </c>
      <c r="H223">
        <v>1005.35</v>
      </c>
      <c r="I223">
        <v>1540.11275</v>
      </c>
      <c r="J223">
        <v>1427.6695</v>
      </c>
      <c r="K223">
        <v>1259.6859999999999</v>
      </c>
      <c r="L223" s="19">
        <v>45643</v>
      </c>
      <c r="M223" s="19">
        <v>45638</v>
      </c>
      <c r="N223" s="19">
        <v>45716</v>
      </c>
      <c r="O223">
        <v>994.3</v>
      </c>
      <c r="P223">
        <v>1010.45</v>
      </c>
      <c r="Q223">
        <v>979</v>
      </c>
      <c r="R223">
        <v>111109</v>
      </c>
      <c r="S223">
        <v>57288</v>
      </c>
      <c r="T223" t="s">
        <v>386</v>
      </c>
      <c r="U223">
        <v>23.093742919140752</v>
      </c>
    </row>
    <row r="224" spans="1:21" x14ac:dyDescent="0.25">
      <c r="A224" t="s">
        <v>315</v>
      </c>
      <c r="B224">
        <v>74.722497920947319</v>
      </c>
      <c r="C224">
        <v>-2.9498525073746311</v>
      </c>
      <c r="D224" t="s">
        <v>383</v>
      </c>
      <c r="E224">
        <v>56</v>
      </c>
      <c r="F224" t="s">
        <v>383</v>
      </c>
      <c r="G224">
        <v>13</v>
      </c>
      <c r="H224">
        <v>460.6</v>
      </c>
      <c r="I224">
        <v>515.19024999999999</v>
      </c>
      <c r="J224">
        <v>520.31650000000002</v>
      </c>
      <c r="K224">
        <v>501.39400000000001</v>
      </c>
      <c r="L224" s="19">
        <v>45638</v>
      </c>
      <c r="M224" s="19">
        <v>45699</v>
      </c>
      <c r="N224" s="19">
        <v>45716</v>
      </c>
      <c r="O224">
        <v>467.5</v>
      </c>
      <c r="P224">
        <v>474</v>
      </c>
      <c r="Q224">
        <v>452.8</v>
      </c>
      <c r="R224">
        <v>698263</v>
      </c>
      <c r="S224">
        <v>399641.15</v>
      </c>
      <c r="T224" t="s">
        <v>386</v>
      </c>
      <c r="U224">
        <v>35.201016179157968</v>
      </c>
    </row>
    <row r="225" spans="1:21" x14ac:dyDescent="0.25">
      <c r="A225" t="s">
        <v>69</v>
      </c>
      <c r="B225">
        <v>-20.21011637911516</v>
      </c>
      <c r="C225">
        <v>-2.5486471529637029</v>
      </c>
      <c r="D225" t="s">
        <v>383</v>
      </c>
      <c r="E225">
        <v>57</v>
      </c>
      <c r="F225" t="s">
        <v>383</v>
      </c>
      <c r="G225">
        <v>1</v>
      </c>
      <c r="H225">
        <v>9773.25</v>
      </c>
      <c r="I225">
        <v>11081.5105</v>
      </c>
      <c r="J225">
        <v>10661.904</v>
      </c>
      <c r="K225">
        <v>10036.647999999999</v>
      </c>
      <c r="L225" s="19">
        <v>45637</v>
      </c>
      <c r="M225" s="19">
        <v>45716</v>
      </c>
      <c r="N225" s="19">
        <v>45716</v>
      </c>
      <c r="O225">
        <v>9909</v>
      </c>
      <c r="P225">
        <v>9960</v>
      </c>
      <c r="Q225">
        <v>9675.0499999999993</v>
      </c>
      <c r="R225">
        <v>1762</v>
      </c>
      <c r="S225">
        <v>2208.3000000000002</v>
      </c>
      <c r="T225" t="s">
        <v>386</v>
      </c>
      <c r="U225">
        <v>43.79336385399133</v>
      </c>
    </row>
    <row r="226" spans="1:21" x14ac:dyDescent="0.25">
      <c r="A226" t="s">
        <v>237</v>
      </c>
      <c r="B226">
        <v>7.9269801671862483</v>
      </c>
      <c r="C226">
        <v>-3.4342245262943378</v>
      </c>
      <c r="D226" t="s">
        <v>385</v>
      </c>
      <c r="E226">
        <v>60</v>
      </c>
      <c r="F226" t="s">
        <v>383</v>
      </c>
      <c r="G226">
        <v>4</v>
      </c>
      <c r="H226">
        <v>2132.8000000000002</v>
      </c>
      <c r="I226">
        <v>1955.2852499999999</v>
      </c>
      <c r="J226">
        <v>2063.0450000000001</v>
      </c>
      <c r="K226">
        <v>2181.9520000000002</v>
      </c>
      <c r="L226" s="19">
        <v>45632</v>
      </c>
      <c r="M226" s="19">
        <v>45712</v>
      </c>
      <c r="N226" s="19">
        <v>45716</v>
      </c>
      <c r="O226">
        <v>2205.1</v>
      </c>
      <c r="P226">
        <v>2205.1</v>
      </c>
      <c r="Q226">
        <v>2120.25</v>
      </c>
      <c r="R226">
        <v>844753</v>
      </c>
      <c r="S226">
        <v>782707.9</v>
      </c>
      <c r="T226" t="s">
        <v>386</v>
      </c>
      <c r="U226">
        <v>41.961948297273622</v>
      </c>
    </row>
    <row r="227" spans="1:21" x14ac:dyDescent="0.25">
      <c r="A227" t="s">
        <v>331</v>
      </c>
      <c r="B227">
        <v>46.198427649599481</v>
      </c>
      <c r="C227">
        <v>3.8996229971724681</v>
      </c>
      <c r="D227" t="s">
        <v>383</v>
      </c>
      <c r="E227">
        <v>67</v>
      </c>
      <c r="F227" t="s">
        <v>383</v>
      </c>
      <c r="G227">
        <v>13</v>
      </c>
      <c r="H227">
        <v>1322.85</v>
      </c>
      <c r="I227">
        <v>1693.3734999999999</v>
      </c>
      <c r="J227">
        <v>1672.5205000000001</v>
      </c>
      <c r="K227">
        <v>1515.741</v>
      </c>
      <c r="L227" s="19">
        <v>45623</v>
      </c>
      <c r="M227" s="19">
        <v>45699</v>
      </c>
      <c r="N227" s="19">
        <v>45716</v>
      </c>
      <c r="O227">
        <v>1261</v>
      </c>
      <c r="P227">
        <v>1333</v>
      </c>
      <c r="Q227">
        <v>1240.8499999999999</v>
      </c>
      <c r="R227">
        <v>162391</v>
      </c>
      <c r="S227">
        <v>111075.75</v>
      </c>
      <c r="T227" t="s">
        <v>386</v>
      </c>
      <c r="U227">
        <v>37.355964977413407</v>
      </c>
    </row>
    <row r="228" spans="1:21" x14ac:dyDescent="0.25">
      <c r="A228" t="s">
        <v>75</v>
      </c>
      <c r="B228">
        <v>44.498565517435843</v>
      </c>
      <c r="C228">
        <v>-3.5230115785186449</v>
      </c>
      <c r="D228" t="s">
        <v>383</v>
      </c>
      <c r="E228">
        <v>69</v>
      </c>
      <c r="F228" t="s">
        <v>383</v>
      </c>
      <c r="G228">
        <v>13</v>
      </c>
      <c r="H228">
        <v>1658.15</v>
      </c>
      <c r="I228">
        <v>2244.0787500000001</v>
      </c>
      <c r="J228">
        <v>2303.9645</v>
      </c>
      <c r="K228">
        <v>2040.1210000000001</v>
      </c>
      <c r="L228" s="19">
        <v>45621</v>
      </c>
      <c r="M228" s="19">
        <v>45699</v>
      </c>
      <c r="N228" s="19">
        <v>45716</v>
      </c>
      <c r="O228">
        <v>1701</v>
      </c>
      <c r="P228">
        <v>1713.15</v>
      </c>
      <c r="Q228">
        <v>1607.05</v>
      </c>
      <c r="R228">
        <v>102495</v>
      </c>
      <c r="S228">
        <v>70931.5</v>
      </c>
      <c r="T228" t="s">
        <v>386</v>
      </c>
      <c r="U228">
        <v>23.639190310918949</v>
      </c>
    </row>
    <row r="229" spans="1:21" x14ac:dyDescent="0.25">
      <c r="A229" t="s">
        <v>256</v>
      </c>
      <c r="B229">
        <v>54.541730489246532</v>
      </c>
      <c r="C229">
        <v>4.9793357566100677E-2</v>
      </c>
      <c r="D229" t="s">
        <v>383</v>
      </c>
      <c r="E229">
        <v>73</v>
      </c>
      <c r="F229" t="s">
        <v>383</v>
      </c>
      <c r="G229">
        <v>13</v>
      </c>
      <c r="H229">
        <v>3013.95</v>
      </c>
      <c r="I229">
        <v>4008.5479999999998</v>
      </c>
      <c r="J229">
        <v>3885.3694999999998</v>
      </c>
      <c r="K229">
        <v>3475.0149999999999</v>
      </c>
      <c r="L229" s="19">
        <v>45614</v>
      </c>
      <c r="M229" s="19">
        <v>45699</v>
      </c>
      <c r="N229" s="19">
        <v>45716</v>
      </c>
      <c r="O229">
        <v>3012.45</v>
      </c>
      <c r="P229">
        <v>3032</v>
      </c>
      <c r="Q229">
        <v>2962.55</v>
      </c>
      <c r="R229">
        <v>627755</v>
      </c>
      <c r="S229">
        <v>406204.2</v>
      </c>
      <c r="T229" t="s">
        <v>386</v>
      </c>
      <c r="U229">
        <v>26.152236384501961</v>
      </c>
    </row>
    <row r="230" spans="1:21" x14ac:dyDescent="0.25">
      <c r="A230" t="s">
        <v>264</v>
      </c>
      <c r="B230">
        <v>47.751233341428943</v>
      </c>
      <c r="C230">
        <v>-2.7207850133809131</v>
      </c>
      <c r="D230" t="s">
        <v>383</v>
      </c>
      <c r="E230">
        <v>73</v>
      </c>
      <c r="F230" t="s">
        <v>383</v>
      </c>
      <c r="G230">
        <v>13</v>
      </c>
      <c r="H230">
        <v>763.35</v>
      </c>
      <c r="I230">
        <v>873.80324999999993</v>
      </c>
      <c r="J230">
        <v>891.28050000000007</v>
      </c>
      <c r="K230">
        <v>856.40099999999995</v>
      </c>
      <c r="L230" s="19">
        <v>45614</v>
      </c>
      <c r="M230" s="19">
        <v>45699</v>
      </c>
      <c r="N230" s="19">
        <v>45716</v>
      </c>
      <c r="O230">
        <v>779</v>
      </c>
      <c r="P230">
        <v>781.15</v>
      </c>
      <c r="Q230">
        <v>746.7</v>
      </c>
      <c r="R230">
        <v>1032385</v>
      </c>
      <c r="S230">
        <v>698731.9</v>
      </c>
      <c r="T230" t="s">
        <v>386</v>
      </c>
      <c r="U230">
        <v>34.793939851719898</v>
      </c>
    </row>
    <row r="231" spans="1:21" x14ac:dyDescent="0.25">
      <c r="A231" t="s">
        <v>298</v>
      </c>
      <c r="B231">
        <v>299.63428388971749</v>
      </c>
      <c r="C231">
        <v>-6.3206459054209869</v>
      </c>
      <c r="D231" t="s">
        <v>383</v>
      </c>
      <c r="E231">
        <v>73</v>
      </c>
      <c r="F231" t="s">
        <v>383</v>
      </c>
      <c r="G231">
        <v>48</v>
      </c>
      <c r="H231">
        <v>406.1</v>
      </c>
      <c r="I231">
        <v>576.90150000000006</v>
      </c>
      <c r="J231">
        <v>572.01699999999994</v>
      </c>
      <c r="K231">
        <v>522.52699999999993</v>
      </c>
      <c r="L231" s="19">
        <v>45614</v>
      </c>
      <c r="M231" s="19">
        <v>45650</v>
      </c>
      <c r="N231" s="19">
        <v>45716</v>
      </c>
      <c r="O231">
        <v>426</v>
      </c>
      <c r="P231">
        <v>430.15</v>
      </c>
      <c r="Q231">
        <v>399.15</v>
      </c>
      <c r="R231">
        <v>811035</v>
      </c>
      <c r="S231">
        <v>202944.3</v>
      </c>
      <c r="T231" t="s">
        <v>386</v>
      </c>
      <c r="U231">
        <v>28.42372763696002</v>
      </c>
    </row>
    <row r="232" spans="1:21" x14ac:dyDescent="0.25">
      <c r="A232" t="s">
        <v>60</v>
      </c>
      <c r="B232">
        <v>-40.460660540486707</v>
      </c>
      <c r="C232">
        <v>-0.61521252796420578</v>
      </c>
      <c r="D232" t="s">
        <v>383</v>
      </c>
      <c r="E232">
        <v>74</v>
      </c>
      <c r="F232" t="s">
        <v>383</v>
      </c>
      <c r="G232">
        <v>2</v>
      </c>
      <c r="H232">
        <v>444.25</v>
      </c>
      <c r="I232">
        <v>515.31825000000003</v>
      </c>
      <c r="J232">
        <v>540.06049999999993</v>
      </c>
      <c r="K232">
        <v>483.88</v>
      </c>
      <c r="L232" s="19">
        <v>45610</v>
      </c>
      <c r="M232" s="19">
        <v>45715</v>
      </c>
      <c r="N232" s="19">
        <v>45716</v>
      </c>
      <c r="O232">
        <v>440.3</v>
      </c>
      <c r="P232">
        <v>446.65</v>
      </c>
      <c r="Q232">
        <v>433.7</v>
      </c>
      <c r="R232">
        <v>306639</v>
      </c>
      <c r="S232">
        <v>515019.15</v>
      </c>
      <c r="T232" t="s">
        <v>386</v>
      </c>
      <c r="U232">
        <v>42.246344901061647</v>
      </c>
    </row>
    <row r="233" spans="1:21" x14ac:dyDescent="0.25">
      <c r="A233" t="s">
        <v>65</v>
      </c>
      <c r="B233">
        <v>0.23031903109076809</v>
      </c>
      <c r="C233">
        <v>-3.9971579374746171</v>
      </c>
      <c r="D233" t="s">
        <v>383</v>
      </c>
      <c r="E233">
        <v>74</v>
      </c>
      <c r="F233" t="s">
        <v>385</v>
      </c>
      <c r="G233">
        <v>2</v>
      </c>
      <c r="H233">
        <v>4729.1000000000004</v>
      </c>
      <c r="I233">
        <v>5983.8692499999997</v>
      </c>
      <c r="J233">
        <v>5687.7269999999999</v>
      </c>
      <c r="K233">
        <v>5117.0110000000004</v>
      </c>
      <c r="L233" s="19">
        <v>45610</v>
      </c>
      <c r="M233" s="19">
        <v>45715</v>
      </c>
      <c r="N233" s="19">
        <v>45716</v>
      </c>
      <c r="O233">
        <v>4880.1000000000004</v>
      </c>
      <c r="P233">
        <v>4880.1000000000004</v>
      </c>
      <c r="Q233">
        <v>4605</v>
      </c>
      <c r="R233">
        <v>43431</v>
      </c>
      <c r="S233">
        <v>43331.199999999997</v>
      </c>
      <c r="T233" t="s">
        <v>384</v>
      </c>
      <c r="U233">
        <v>44.11652388524211</v>
      </c>
    </row>
    <row r="234" spans="1:21" x14ac:dyDescent="0.25">
      <c r="A234" t="s">
        <v>38</v>
      </c>
      <c r="B234">
        <v>-40.318909402691148</v>
      </c>
      <c r="C234">
        <v>-2.385997236296646</v>
      </c>
      <c r="D234" t="s">
        <v>383</v>
      </c>
      <c r="E234">
        <v>74</v>
      </c>
      <c r="F234" t="s">
        <v>383</v>
      </c>
      <c r="G234">
        <v>13</v>
      </c>
      <c r="H234">
        <v>529.79999999999995</v>
      </c>
      <c r="I234">
        <v>641.45524999999998</v>
      </c>
      <c r="J234">
        <v>652.43700000000001</v>
      </c>
      <c r="K234">
        <v>592.23199999999997</v>
      </c>
      <c r="L234" s="19">
        <v>45610</v>
      </c>
      <c r="M234" s="19">
        <v>45699</v>
      </c>
      <c r="N234" s="19">
        <v>45716</v>
      </c>
      <c r="O234">
        <v>542.75</v>
      </c>
      <c r="P234">
        <v>542.75</v>
      </c>
      <c r="Q234">
        <v>512.35</v>
      </c>
      <c r="R234">
        <v>87496</v>
      </c>
      <c r="S234">
        <v>146605.9</v>
      </c>
      <c r="T234" t="s">
        <v>386</v>
      </c>
      <c r="U234">
        <v>36.794059999314278</v>
      </c>
    </row>
    <row r="235" spans="1:21" x14ac:dyDescent="0.25">
      <c r="A235" t="s">
        <v>227</v>
      </c>
      <c r="B235">
        <v>-50.223761059775207</v>
      </c>
      <c r="C235">
        <v>-0.40138149911322268</v>
      </c>
      <c r="D235" t="s">
        <v>383</v>
      </c>
      <c r="E235">
        <v>74</v>
      </c>
      <c r="F235" t="s">
        <v>383</v>
      </c>
      <c r="G235">
        <v>36</v>
      </c>
      <c r="H235">
        <v>533.5</v>
      </c>
      <c r="I235">
        <v>664.22749999999996</v>
      </c>
      <c r="J235">
        <v>665.1925</v>
      </c>
      <c r="K235">
        <v>604.51199999999994</v>
      </c>
      <c r="L235" s="19">
        <v>45610</v>
      </c>
      <c r="M235" s="19">
        <v>45667</v>
      </c>
      <c r="N235" s="19">
        <v>45716</v>
      </c>
      <c r="O235">
        <v>527.6</v>
      </c>
      <c r="P235">
        <v>538.20000000000005</v>
      </c>
      <c r="Q235">
        <v>525</v>
      </c>
      <c r="R235">
        <v>5578</v>
      </c>
      <c r="S235">
        <v>11206.15</v>
      </c>
      <c r="T235" t="s">
        <v>386</v>
      </c>
      <c r="U235">
        <v>40.257411836290387</v>
      </c>
    </row>
    <row r="236" spans="1:21" x14ac:dyDescent="0.25">
      <c r="A236" t="s">
        <v>132</v>
      </c>
      <c r="B236">
        <v>38.03293930136806</v>
      </c>
      <c r="C236">
        <v>-1.2055251357624099</v>
      </c>
      <c r="D236" t="s">
        <v>383</v>
      </c>
      <c r="E236">
        <v>75</v>
      </c>
      <c r="F236" t="s">
        <v>383</v>
      </c>
      <c r="G236">
        <v>12</v>
      </c>
      <c r="H236">
        <v>2192.1999999999998</v>
      </c>
      <c r="I236">
        <v>2739.768</v>
      </c>
      <c r="J236">
        <v>2645.1154999999999</v>
      </c>
      <c r="K236">
        <v>2412.5940000000001</v>
      </c>
      <c r="L236" s="19">
        <v>45609</v>
      </c>
      <c r="M236" s="19">
        <v>45700</v>
      </c>
      <c r="N236" s="19">
        <v>45716</v>
      </c>
      <c r="O236">
        <v>2213.4499999999998</v>
      </c>
      <c r="P236">
        <v>2220.0500000000002</v>
      </c>
      <c r="Q236">
        <v>2172.4</v>
      </c>
      <c r="R236">
        <v>12471</v>
      </c>
      <c r="S236">
        <v>9034.7999999999993</v>
      </c>
      <c r="T236" t="s">
        <v>386</v>
      </c>
      <c r="U236">
        <v>29.636884050949661</v>
      </c>
    </row>
    <row r="237" spans="1:21" x14ac:dyDescent="0.25">
      <c r="A237" t="s">
        <v>278</v>
      </c>
      <c r="B237">
        <v>176.77990594568291</v>
      </c>
      <c r="C237">
        <v>2.2605802225226119</v>
      </c>
      <c r="D237" t="s">
        <v>383</v>
      </c>
      <c r="E237">
        <v>75</v>
      </c>
      <c r="F237" t="s">
        <v>383</v>
      </c>
      <c r="G237">
        <v>76</v>
      </c>
      <c r="H237">
        <v>2458.6</v>
      </c>
      <c r="I237">
        <v>3376.3339999999998</v>
      </c>
      <c r="J237">
        <v>3191.5970000000002</v>
      </c>
      <c r="K237">
        <v>2878.627</v>
      </c>
      <c r="L237" s="19">
        <v>45609</v>
      </c>
      <c r="M237" s="19">
        <v>45608</v>
      </c>
      <c r="N237" s="19">
        <v>45716</v>
      </c>
      <c r="O237">
        <v>2377.85</v>
      </c>
      <c r="P237">
        <v>2500</v>
      </c>
      <c r="Q237">
        <v>2343.0500000000002</v>
      </c>
      <c r="R237">
        <v>55736</v>
      </c>
      <c r="S237">
        <v>20137.3</v>
      </c>
      <c r="T237" t="s">
        <v>386</v>
      </c>
      <c r="U237">
        <v>32.684048625101141</v>
      </c>
    </row>
    <row r="238" spans="1:21" x14ac:dyDescent="0.25">
      <c r="A238" t="s">
        <v>301</v>
      </c>
      <c r="B238">
        <v>-10.860485240636249</v>
      </c>
      <c r="C238">
        <v>-0.16140350877192661</v>
      </c>
      <c r="D238" t="s">
        <v>383</v>
      </c>
      <c r="E238">
        <v>76</v>
      </c>
      <c r="F238" t="s">
        <v>383</v>
      </c>
      <c r="G238">
        <v>13</v>
      </c>
      <c r="H238">
        <v>711.35</v>
      </c>
      <c r="I238">
        <v>768.15925000000004</v>
      </c>
      <c r="J238">
        <v>799.15</v>
      </c>
      <c r="K238">
        <v>753.70699999999999</v>
      </c>
      <c r="L238" s="19">
        <v>45608</v>
      </c>
      <c r="M238" s="19">
        <v>45699</v>
      </c>
      <c r="N238" s="19">
        <v>45716</v>
      </c>
      <c r="O238">
        <v>705</v>
      </c>
      <c r="P238">
        <v>716</v>
      </c>
      <c r="Q238">
        <v>696.5</v>
      </c>
      <c r="R238">
        <v>219360</v>
      </c>
      <c r="S238">
        <v>246086.15</v>
      </c>
      <c r="T238" t="s">
        <v>386</v>
      </c>
      <c r="U238">
        <v>40.662710875640812</v>
      </c>
    </row>
    <row r="239" spans="1:21" x14ac:dyDescent="0.25">
      <c r="A239" t="s">
        <v>294</v>
      </c>
      <c r="B239">
        <v>26.99781649541616</v>
      </c>
      <c r="C239">
        <v>-5.8961736406354843</v>
      </c>
      <c r="D239" t="s">
        <v>383</v>
      </c>
      <c r="E239">
        <v>76</v>
      </c>
      <c r="F239" t="s">
        <v>383</v>
      </c>
      <c r="G239">
        <v>14</v>
      </c>
      <c r="H239">
        <v>84.11</v>
      </c>
      <c r="I239">
        <v>109.31245</v>
      </c>
      <c r="J239">
        <v>113.2349</v>
      </c>
      <c r="K239">
        <v>105.17700000000001</v>
      </c>
      <c r="L239" s="19">
        <v>45608</v>
      </c>
      <c r="M239" s="19">
        <v>45698</v>
      </c>
      <c r="N239" s="19">
        <v>45716</v>
      </c>
      <c r="O239">
        <v>88.3</v>
      </c>
      <c r="P239">
        <v>88.59</v>
      </c>
      <c r="Q239">
        <v>83.31</v>
      </c>
      <c r="R239">
        <v>366074</v>
      </c>
      <c r="S239">
        <v>288252.2</v>
      </c>
      <c r="T239" t="s">
        <v>386</v>
      </c>
      <c r="U239">
        <v>28.16288806635642</v>
      </c>
    </row>
    <row r="240" spans="1:21" x14ac:dyDescent="0.25">
      <c r="A240" t="s">
        <v>321</v>
      </c>
      <c r="B240">
        <v>-18.304837014384191</v>
      </c>
      <c r="C240">
        <v>-4.4143454979075898</v>
      </c>
      <c r="D240" t="s">
        <v>383</v>
      </c>
      <c r="E240">
        <v>76</v>
      </c>
      <c r="F240" t="s">
        <v>383</v>
      </c>
      <c r="G240">
        <v>15</v>
      </c>
      <c r="H240">
        <v>1062.0999999999999</v>
      </c>
      <c r="I240">
        <v>1356.8354999999999</v>
      </c>
      <c r="J240">
        <v>1380.6475</v>
      </c>
      <c r="K240">
        <v>1248.5409999999999</v>
      </c>
      <c r="L240" s="19">
        <v>45608</v>
      </c>
      <c r="M240" s="19">
        <v>45695</v>
      </c>
      <c r="N240" s="19">
        <v>45716</v>
      </c>
      <c r="O240">
        <v>1111.1500000000001</v>
      </c>
      <c r="P240">
        <v>1111.1500000000001</v>
      </c>
      <c r="Q240">
        <v>1045.3</v>
      </c>
      <c r="R240">
        <v>168352</v>
      </c>
      <c r="S240">
        <v>206073.4</v>
      </c>
      <c r="T240" t="s">
        <v>386</v>
      </c>
      <c r="U240">
        <v>32.372700299785208</v>
      </c>
    </row>
    <row r="241" spans="1:21" x14ac:dyDescent="0.25">
      <c r="A241" t="s">
        <v>238</v>
      </c>
      <c r="B241">
        <v>-5.6695826690993787</v>
      </c>
      <c r="C241">
        <v>-3.1187122736418509</v>
      </c>
      <c r="D241" t="s">
        <v>385</v>
      </c>
      <c r="E241">
        <v>77</v>
      </c>
      <c r="F241" t="s">
        <v>385</v>
      </c>
      <c r="G241">
        <v>7</v>
      </c>
      <c r="H241">
        <v>1444.5</v>
      </c>
      <c r="I241">
        <v>1273.0005000000001</v>
      </c>
      <c r="J241">
        <v>1302.3895</v>
      </c>
      <c r="K241">
        <v>1338.2449999999999</v>
      </c>
      <c r="L241" s="19">
        <v>45607</v>
      </c>
      <c r="M241" s="19">
        <v>45707</v>
      </c>
      <c r="N241" s="19">
        <v>45716</v>
      </c>
      <c r="O241">
        <v>1480</v>
      </c>
      <c r="P241">
        <v>1505</v>
      </c>
      <c r="Q241">
        <v>1425.05</v>
      </c>
      <c r="R241">
        <v>575304</v>
      </c>
      <c r="S241">
        <v>609881.75</v>
      </c>
      <c r="T241" t="s">
        <v>386</v>
      </c>
      <c r="U241">
        <v>60.597691243733173</v>
      </c>
    </row>
    <row r="242" spans="1:21" x14ac:dyDescent="0.25">
      <c r="A242" t="s">
        <v>337</v>
      </c>
      <c r="B242">
        <v>188.6002584438337</v>
      </c>
      <c r="C242">
        <v>-3.789898682105584</v>
      </c>
      <c r="D242" t="s">
        <v>383</v>
      </c>
      <c r="E242">
        <v>77</v>
      </c>
      <c r="F242" t="s">
        <v>383</v>
      </c>
      <c r="G242">
        <v>20</v>
      </c>
      <c r="H242">
        <v>1262.95</v>
      </c>
      <c r="I242">
        <v>1597.4947500000001</v>
      </c>
      <c r="J242">
        <v>1564.1095</v>
      </c>
      <c r="K242">
        <v>1394.24</v>
      </c>
      <c r="L242" s="19">
        <v>45607</v>
      </c>
      <c r="M242" s="19">
        <v>45689</v>
      </c>
      <c r="N242" s="19">
        <v>45716</v>
      </c>
      <c r="O242">
        <v>1301.05</v>
      </c>
      <c r="P242">
        <v>1301.05</v>
      </c>
      <c r="Q242">
        <v>1238</v>
      </c>
      <c r="R242">
        <v>2361453</v>
      </c>
      <c r="S242">
        <v>818243.55</v>
      </c>
      <c r="T242" t="s">
        <v>386</v>
      </c>
      <c r="U242">
        <v>39.388725094122691</v>
      </c>
    </row>
    <row r="243" spans="1:21" x14ac:dyDescent="0.25">
      <c r="A243" t="s">
        <v>340</v>
      </c>
      <c r="B243">
        <v>92.170285477092577</v>
      </c>
      <c r="C243">
        <v>-3.209764918625682</v>
      </c>
      <c r="D243" t="s">
        <v>383</v>
      </c>
      <c r="E243">
        <v>77</v>
      </c>
      <c r="F243" t="s">
        <v>383</v>
      </c>
      <c r="G243">
        <v>49</v>
      </c>
      <c r="H243">
        <v>2462.15</v>
      </c>
      <c r="I243">
        <v>3810.52025</v>
      </c>
      <c r="J243">
        <v>3559.8505</v>
      </c>
      <c r="K243">
        <v>3165.4929999999999</v>
      </c>
      <c r="L243" s="19">
        <v>45607</v>
      </c>
      <c r="M243" s="19">
        <v>45649</v>
      </c>
      <c r="N243" s="19">
        <v>45716</v>
      </c>
      <c r="O243">
        <v>2516.4</v>
      </c>
      <c r="P243">
        <v>2539</v>
      </c>
      <c r="Q243">
        <v>2407.1</v>
      </c>
      <c r="R243">
        <v>572222</v>
      </c>
      <c r="S243">
        <v>297768.2</v>
      </c>
      <c r="T243" t="s">
        <v>384</v>
      </c>
      <c r="U243">
        <v>27.154434501848609</v>
      </c>
    </row>
    <row r="244" spans="1:21" x14ac:dyDescent="0.25">
      <c r="A244" t="s">
        <v>323</v>
      </c>
      <c r="B244">
        <v>-36.827464708602569</v>
      </c>
      <c r="C244">
        <v>-3.973864610111399</v>
      </c>
      <c r="D244" t="s">
        <v>385</v>
      </c>
      <c r="E244">
        <v>78</v>
      </c>
      <c r="F244" t="s">
        <v>385</v>
      </c>
      <c r="G244">
        <v>7</v>
      </c>
      <c r="H244">
        <v>448.25</v>
      </c>
      <c r="I244">
        <v>346.45150000000001</v>
      </c>
      <c r="J244">
        <v>365.01249999999999</v>
      </c>
      <c r="K244">
        <v>399.54799999999989</v>
      </c>
      <c r="L244" s="19">
        <v>45604</v>
      </c>
      <c r="M244" s="19">
        <v>45707</v>
      </c>
      <c r="N244" s="19">
        <v>45716</v>
      </c>
      <c r="O244">
        <v>460.4</v>
      </c>
      <c r="P244">
        <v>462.7</v>
      </c>
      <c r="Q244">
        <v>435.05</v>
      </c>
      <c r="R244">
        <v>588507</v>
      </c>
      <c r="S244">
        <v>931586.8</v>
      </c>
      <c r="T244" t="s">
        <v>386</v>
      </c>
      <c r="U244">
        <v>57.872199739303298</v>
      </c>
    </row>
    <row r="245" spans="1:21" x14ac:dyDescent="0.25">
      <c r="A245" t="s">
        <v>137</v>
      </c>
      <c r="B245">
        <v>-6.97461979141565</v>
      </c>
      <c r="C245">
        <v>-3.2519840085923981</v>
      </c>
      <c r="D245" t="s">
        <v>383</v>
      </c>
      <c r="E245">
        <v>78</v>
      </c>
      <c r="F245" t="s">
        <v>383</v>
      </c>
      <c r="G245">
        <v>17</v>
      </c>
      <c r="H245">
        <v>810.7</v>
      </c>
      <c r="I245">
        <v>1148.9807499999999</v>
      </c>
      <c r="J245">
        <v>1052.5934999999999</v>
      </c>
      <c r="K245">
        <v>933.68499999999995</v>
      </c>
      <c r="L245" s="19">
        <v>45604</v>
      </c>
      <c r="M245" s="19">
        <v>45693</v>
      </c>
      <c r="N245" s="19">
        <v>45716</v>
      </c>
      <c r="O245">
        <v>835.9</v>
      </c>
      <c r="P245">
        <v>835.9</v>
      </c>
      <c r="Q245">
        <v>805</v>
      </c>
      <c r="R245">
        <v>442983</v>
      </c>
      <c r="S245">
        <v>476195.85</v>
      </c>
      <c r="T245" t="s">
        <v>386</v>
      </c>
      <c r="U245">
        <v>28.64188663262496</v>
      </c>
    </row>
    <row r="246" spans="1:21" x14ac:dyDescent="0.25">
      <c r="A246" t="s">
        <v>351</v>
      </c>
      <c r="B246">
        <v>-56.360449599632631</v>
      </c>
      <c r="C246">
        <v>-3.1991051454138728</v>
      </c>
      <c r="D246" t="s">
        <v>385</v>
      </c>
      <c r="E246">
        <v>80</v>
      </c>
      <c r="F246" t="s">
        <v>383</v>
      </c>
      <c r="G246">
        <v>7</v>
      </c>
      <c r="H246">
        <v>865.4</v>
      </c>
      <c r="I246">
        <v>683.64324999999997</v>
      </c>
      <c r="J246">
        <v>836.50699999999995</v>
      </c>
      <c r="K246">
        <v>940.64899999999989</v>
      </c>
      <c r="L246" s="19">
        <v>45602</v>
      </c>
      <c r="M246" s="19">
        <v>45707</v>
      </c>
      <c r="N246" s="19">
        <v>45716</v>
      </c>
      <c r="O246">
        <v>882</v>
      </c>
      <c r="P246">
        <v>900.9</v>
      </c>
      <c r="Q246">
        <v>844.8</v>
      </c>
      <c r="R246">
        <v>115179</v>
      </c>
      <c r="S246">
        <v>263932.59999999998</v>
      </c>
      <c r="T246" t="s">
        <v>386</v>
      </c>
      <c r="U246">
        <v>41.452936760077733</v>
      </c>
    </row>
    <row r="247" spans="1:21" x14ac:dyDescent="0.25">
      <c r="A247" t="s">
        <v>151</v>
      </c>
      <c r="B247">
        <v>7.4620967114012613</v>
      </c>
      <c r="C247">
        <v>-2.436839276115395</v>
      </c>
      <c r="D247" t="s">
        <v>383</v>
      </c>
      <c r="E247">
        <v>80</v>
      </c>
      <c r="F247" t="s">
        <v>383</v>
      </c>
      <c r="G247">
        <v>26</v>
      </c>
      <c r="H247">
        <v>272.25</v>
      </c>
      <c r="I247">
        <v>350.27575000000002</v>
      </c>
      <c r="J247">
        <v>355.50349999999997</v>
      </c>
      <c r="K247">
        <v>334.66500000000002</v>
      </c>
      <c r="L247" s="19">
        <v>45602</v>
      </c>
      <c r="M247" s="19">
        <v>45681</v>
      </c>
      <c r="N247" s="19">
        <v>45716</v>
      </c>
      <c r="O247">
        <v>276.60000000000002</v>
      </c>
      <c r="P247">
        <v>279</v>
      </c>
      <c r="Q247">
        <v>270</v>
      </c>
      <c r="R247">
        <v>757014</v>
      </c>
      <c r="S247">
        <v>704447.45</v>
      </c>
      <c r="T247" t="s">
        <v>386</v>
      </c>
      <c r="U247">
        <v>19.376098371325309</v>
      </c>
    </row>
    <row r="248" spans="1:21" x14ac:dyDescent="0.25">
      <c r="A248" t="s">
        <v>252</v>
      </c>
      <c r="B248">
        <v>82.879458637787579</v>
      </c>
      <c r="C248">
        <v>-1.346214760848907</v>
      </c>
      <c r="D248" t="s">
        <v>383</v>
      </c>
      <c r="E248">
        <v>81</v>
      </c>
      <c r="F248" t="s">
        <v>385</v>
      </c>
      <c r="G248">
        <v>6</v>
      </c>
      <c r="H248">
        <v>311.45</v>
      </c>
      <c r="I248">
        <v>372.73599999999999</v>
      </c>
      <c r="J248">
        <v>353.93200000000002</v>
      </c>
      <c r="K248">
        <v>321.02100000000002</v>
      </c>
      <c r="L248" s="19">
        <v>45601</v>
      </c>
      <c r="M248" s="19">
        <v>45708</v>
      </c>
      <c r="N248" s="19">
        <v>45716</v>
      </c>
      <c r="O248">
        <v>314</v>
      </c>
      <c r="P248">
        <v>315.64999999999998</v>
      </c>
      <c r="Q248">
        <v>306.55</v>
      </c>
      <c r="R248">
        <v>21127180</v>
      </c>
      <c r="S248">
        <v>11552516.699999999</v>
      </c>
      <c r="T248" t="s">
        <v>386</v>
      </c>
      <c r="U248">
        <v>44.672843441108313</v>
      </c>
    </row>
    <row r="249" spans="1:21" x14ac:dyDescent="0.25">
      <c r="A249" t="s">
        <v>35</v>
      </c>
      <c r="B249">
        <v>132.9915443838689</v>
      </c>
      <c r="C249">
        <v>0.73062330623305838</v>
      </c>
      <c r="D249" t="s">
        <v>383</v>
      </c>
      <c r="E249">
        <v>82</v>
      </c>
      <c r="F249" t="s">
        <v>383</v>
      </c>
      <c r="G249">
        <v>14</v>
      </c>
      <c r="H249">
        <v>4646.2</v>
      </c>
      <c r="I249">
        <v>5478.6605000000009</v>
      </c>
      <c r="J249">
        <v>5424.5115000000014</v>
      </c>
      <c r="K249">
        <v>5114.9960000000001</v>
      </c>
      <c r="L249" s="19">
        <v>45600</v>
      </c>
      <c r="M249" s="19">
        <v>45698</v>
      </c>
      <c r="N249" s="19">
        <v>45716</v>
      </c>
      <c r="O249">
        <v>4600</v>
      </c>
      <c r="P249">
        <v>4785.1499999999996</v>
      </c>
      <c r="Q249">
        <v>4491.6499999999996</v>
      </c>
      <c r="R249">
        <v>527520</v>
      </c>
      <c r="S249">
        <v>226411.65</v>
      </c>
      <c r="T249" t="s">
        <v>386</v>
      </c>
      <c r="U249">
        <v>36.987237201557321</v>
      </c>
    </row>
    <row r="250" spans="1:21" x14ac:dyDescent="0.25">
      <c r="A250" t="s">
        <v>31</v>
      </c>
      <c r="B250">
        <v>-33.472061224211579</v>
      </c>
      <c r="C250">
        <v>-4.0062555508360038</v>
      </c>
      <c r="D250" t="s">
        <v>383</v>
      </c>
      <c r="E250">
        <v>84</v>
      </c>
      <c r="F250" t="s">
        <v>383</v>
      </c>
      <c r="G250">
        <v>4</v>
      </c>
      <c r="H250">
        <v>2485.9499999999998</v>
      </c>
      <c r="I250">
        <v>2803.5895</v>
      </c>
      <c r="J250">
        <v>2884.5129999999999</v>
      </c>
      <c r="K250">
        <v>2769.9659999999999</v>
      </c>
      <c r="L250" s="19">
        <v>45596</v>
      </c>
      <c r="M250" s="19">
        <v>45712</v>
      </c>
      <c r="N250" s="19">
        <v>45716</v>
      </c>
      <c r="O250">
        <v>2589.5500000000002</v>
      </c>
      <c r="P250">
        <v>2589.5500000000002</v>
      </c>
      <c r="Q250">
        <v>2460</v>
      </c>
      <c r="R250">
        <v>163481</v>
      </c>
      <c r="S250">
        <v>245732.85</v>
      </c>
      <c r="T250" t="s">
        <v>386</v>
      </c>
      <c r="U250">
        <v>38.629257970694098</v>
      </c>
    </row>
    <row r="251" spans="1:21" x14ac:dyDescent="0.25">
      <c r="A251" t="s">
        <v>92</v>
      </c>
      <c r="B251">
        <v>362.22277765476429</v>
      </c>
      <c r="C251">
        <v>7.7294117647058878</v>
      </c>
      <c r="D251" t="s">
        <v>383</v>
      </c>
      <c r="E251">
        <v>85</v>
      </c>
      <c r="F251" t="s">
        <v>385</v>
      </c>
      <c r="G251">
        <v>1</v>
      </c>
      <c r="H251">
        <v>457.85</v>
      </c>
      <c r="I251">
        <v>507.43425000000002</v>
      </c>
      <c r="J251">
        <v>492.726</v>
      </c>
      <c r="K251">
        <v>454.14499999999998</v>
      </c>
      <c r="L251" s="19">
        <v>45595</v>
      </c>
      <c r="M251" s="19">
        <v>45716</v>
      </c>
      <c r="N251" s="19">
        <v>45716</v>
      </c>
      <c r="O251">
        <v>420</v>
      </c>
      <c r="P251">
        <v>466.75</v>
      </c>
      <c r="Q251">
        <v>417.05</v>
      </c>
      <c r="R251">
        <v>2503953</v>
      </c>
      <c r="S251">
        <v>541719.94999999995</v>
      </c>
      <c r="T251" t="s">
        <v>386</v>
      </c>
      <c r="U251">
        <v>54.041113704627058</v>
      </c>
    </row>
    <row r="252" spans="1:21" x14ac:dyDescent="0.25">
      <c r="A252" t="s">
        <v>319</v>
      </c>
      <c r="B252">
        <v>-21.05074399114897</v>
      </c>
      <c r="C252">
        <v>-2.7187500000000022</v>
      </c>
      <c r="D252" t="s">
        <v>383</v>
      </c>
      <c r="E252">
        <v>85</v>
      </c>
      <c r="F252" t="s">
        <v>383</v>
      </c>
      <c r="G252">
        <v>14</v>
      </c>
      <c r="H252">
        <v>933.9</v>
      </c>
      <c r="I252">
        <v>1241.1792499999999</v>
      </c>
      <c r="J252">
        <v>1143.3195000000001</v>
      </c>
      <c r="K252">
        <v>1027.1579999999999</v>
      </c>
      <c r="L252" s="19">
        <v>45595</v>
      </c>
      <c r="M252" s="19">
        <v>45698</v>
      </c>
      <c r="N252" s="19">
        <v>45716</v>
      </c>
      <c r="O252">
        <v>953.1</v>
      </c>
      <c r="P252">
        <v>965</v>
      </c>
      <c r="Q252">
        <v>920.05</v>
      </c>
      <c r="R252">
        <v>98510</v>
      </c>
      <c r="S252">
        <v>124776.35</v>
      </c>
      <c r="T252" t="s">
        <v>386</v>
      </c>
      <c r="U252">
        <v>33.778789954572368</v>
      </c>
    </row>
    <row r="253" spans="1:21" x14ac:dyDescent="0.25">
      <c r="A253" t="s">
        <v>142</v>
      </c>
      <c r="B253">
        <v>94.674623286947451</v>
      </c>
      <c r="C253">
        <v>0.59972739663788366</v>
      </c>
      <c r="D253" t="s">
        <v>383</v>
      </c>
      <c r="E253">
        <v>86</v>
      </c>
      <c r="F253" t="s">
        <v>383</v>
      </c>
      <c r="G253">
        <v>12</v>
      </c>
      <c r="H253">
        <v>1107.0999999999999</v>
      </c>
      <c r="I253">
        <v>1308.4682499999999</v>
      </c>
      <c r="J253">
        <v>1243.1524999999999</v>
      </c>
      <c r="K253">
        <v>1174.194</v>
      </c>
      <c r="L253" s="19">
        <v>45594</v>
      </c>
      <c r="M253" s="19">
        <v>45700</v>
      </c>
      <c r="N253" s="19">
        <v>45716</v>
      </c>
      <c r="O253">
        <v>1082.8499999999999</v>
      </c>
      <c r="P253">
        <v>1123.8499999999999</v>
      </c>
      <c r="Q253">
        <v>1075.55</v>
      </c>
      <c r="R253">
        <v>101326</v>
      </c>
      <c r="S253">
        <v>52048.9</v>
      </c>
      <c r="T253" t="s">
        <v>384</v>
      </c>
      <c r="U253">
        <v>36.811342714976277</v>
      </c>
    </row>
    <row r="254" spans="1:21" x14ac:dyDescent="0.25">
      <c r="A254" t="s">
        <v>108</v>
      </c>
      <c r="B254">
        <v>-34.47189034669794</v>
      </c>
      <c r="C254">
        <v>-2.0393886074071088</v>
      </c>
      <c r="D254" t="s">
        <v>383</v>
      </c>
      <c r="E254">
        <v>86</v>
      </c>
      <c r="F254" t="s">
        <v>383</v>
      </c>
      <c r="G254">
        <v>17</v>
      </c>
      <c r="H254">
        <v>2310.4499999999998</v>
      </c>
      <c r="I254">
        <v>3002.9504999999999</v>
      </c>
      <c r="J254">
        <v>2960.3564999999999</v>
      </c>
      <c r="K254">
        <v>2798.6979999999999</v>
      </c>
      <c r="L254" s="19">
        <v>45594</v>
      </c>
      <c r="M254" s="19">
        <v>45693</v>
      </c>
      <c r="N254" s="19">
        <v>45716</v>
      </c>
      <c r="O254">
        <v>2351.9</v>
      </c>
      <c r="P254">
        <v>2358.35</v>
      </c>
      <c r="Q254">
        <v>2300</v>
      </c>
      <c r="R254">
        <v>126948</v>
      </c>
      <c r="S254">
        <v>193730.6</v>
      </c>
      <c r="T254" t="s">
        <v>386</v>
      </c>
      <c r="U254">
        <v>17.930615353408431</v>
      </c>
    </row>
    <row r="255" spans="1:21" x14ac:dyDescent="0.25">
      <c r="A255" t="s">
        <v>126</v>
      </c>
      <c r="B255">
        <v>153.54962947542049</v>
      </c>
      <c r="C255">
        <v>-6.3345633456334633</v>
      </c>
      <c r="D255" t="s">
        <v>383</v>
      </c>
      <c r="E255">
        <v>86</v>
      </c>
      <c r="F255" t="s">
        <v>383</v>
      </c>
      <c r="G255">
        <v>20</v>
      </c>
      <c r="H255">
        <v>228.45</v>
      </c>
      <c r="I255">
        <v>355.36799999999988</v>
      </c>
      <c r="J255">
        <v>335.19449999999989</v>
      </c>
      <c r="K255">
        <v>305.87099999999998</v>
      </c>
      <c r="L255" s="19">
        <v>45594</v>
      </c>
      <c r="M255" s="19">
        <v>45689</v>
      </c>
      <c r="N255" s="19">
        <v>45716</v>
      </c>
      <c r="O255">
        <v>241.1</v>
      </c>
      <c r="P255">
        <v>241.95</v>
      </c>
      <c r="Q255">
        <v>224.55</v>
      </c>
      <c r="R255">
        <v>1583297</v>
      </c>
      <c r="S255">
        <v>624452.5</v>
      </c>
      <c r="T255" t="s">
        <v>384</v>
      </c>
      <c r="U255">
        <v>23.540324515416192</v>
      </c>
    </row>
    <row r="256" spans="1:21" x14ac:dyDescent="0.25">
      <c r="A256" t="s">
        <v>179</v>
      </c>
      <c r="B256">
        <v>113.32960273639929</v>
      </c>
      <c r="C256">
        <v>2.7945776850886288</v>
      </c>
      <c r="D256" t="s">
        <v>383</v>
      </c>
      <c r="E256">
        <v>87</v>
      </c>
      <c r="F256" t="s">
        <v>383</v>
      </c>
      <c r="G256">
        <v>2</v>
      </c>
      <c r="H256">
        <v>246.45</v>
      </c>
      <c r="I256">
        <v>299.39569999999998</v>
      </c>
      <c r="J256">
        <v>289.79649999999998</v>
      </c>
      <c r="K256">
        <v>257.57299999999998</v>
      </c>
      <c r="L256" s="19">
        <v>45593</v>
      </c>
      <c r="M256" s="19">
        <v>45715</v>
      </c>
      <c r="N256" s="19">
        <v>45716</v>
      </c>
      <c r="O256">
        <v>238.85</v>
      </c>
      <c r="P256">
        <v>250.75</v>
      </c>
      <c r="Q256">
        <v>236.5</v>
      </c>
      <c r="R256">
        <v>3320471</v>
      </c>
      <c r="S256">
        <v>1556498</v>
      </c>
      <c r="T256" t="s">
        <v>386</v>
      </c>
      <c r="U256">
        <v>48.932126050256521</v>
      </c>
    </row>
    <row r="257" spans="1:21" x14ac:dyDescent="0.25">
      <c r="A257" t="s">
        <v>27</v>
      </c>
      <c r="B257">
        <v>383.97551868817118</v>
      </c>
      <c r="C257">
        <v>-5.5777616279069644</v>
      </c>
      <c r="D257" t="s">
        <v>383</v>
      </c>
      <c r="E257">
        <v>87</v>
      </c>
      <c r="F257" t="s">
        <v>383</v>
      </c>
      <c r="G257">
        <v>14</v>
      </c>
      <c r="H257">
        <v>259.85000000000002</v>
      </c>
      <c r="I257">
        <v>399.21875</v>
      </c>
      <c r="J257">
        <v>376.15699999999998</v>
      </c>
      <c r="K257">
        <v>329.46</v>
      </c>
      <c r="L257" s="19">
        <v>45593</v>
      </c>
      <c r="M257" s="19">
        <v>45698</v>
      </c>
      <c r="N257" s="19">
        <v>45716</v>
      </c>
      <c r="O257">
        <v>270</v>
      </c>
      <c r="P257">
        <v>272.60000000000002</v>
      </c>
      <c r="Q257">
        <v>258.10000000000002</v>
      </c>
      <c r="R257">
        <v>1477351</v>
      </c>
      <c r="S257">
        <v>305253.25</v>
      </c>
      <c r="T257" t="s">
        <v>386</v>
      </c>
      <c r="U257">
        <v>20.379090336640601</v>
      </c>
    </row>
    <row r="258" spans="1:21" x14ac:dyDescent="0.25">
      <c r="A258" t="s">
        <v>123</v>
      </c>
      <c r="B258">
        <v>30.066660754504689</v>
      </c>
      <c r="C258">
        <v>-2.127114300358794</v>
      </c>
      <c r="D258" t="s">
        <v>383</v>
      </c>
      <c r="E258">
        <v>87</v>
      </c>
      <c r="F258" t="s">
        <v>383</v>
      </c>
      <c r="G258">
        <v>38</v>
      </c>
      <c r="H258">
        <v>381.9</v>
      </c>
      <c r="I258">
        <v>497.86174999999997</v>
      </c>
      <c r="J258">
        <v>492.0865</v>
      </c>
      <c r="K258">
        <v>465.09100000000001</v>
      </c>
      <c r="L258" s="19">
        <v>45593</v>
      </c>
      <c r="M258" s="19">
        <v>45665</v>
      </c>
      <c r="N258" s="19">
        <v>45716</v>
      </c>
      <c r="O258">
        <v>386.9</v>
      </c>
      <c r="P258">
        <v>387.65</v>
      </c>
      <c r="Q258">
        <v>370.45</v>
      </c>
      <c r="R258">
        <v>192132</v>
      </c>
      <c r="S258">
        <v>147718.1</v>
      </c>
      <c r="T258" t="s">
        <v>386</v>
      </c>
      <c r="U258">
        <v>19.586742918108381</v>
      </c>
    </row>
    <row r="259" spans="1:21" x14ac:dyDescent="0.25">
      <c r="A259" t="s">
        <v>53</v>
      </c>
      <c r="B259">
        <v>74.998729335871744</v>
      </c>
      <c r="C259">
        <v>-4.0018949631636254</v>
      </c>
      <c r="D259" t="s">
        <v>383</v>
      </c>
      <c r="E259">
        <v>88</v>
      </c>
      <c r="F259" t="s">
        <v>383</v>
      </c>
      <c r="G259">
        <v>11</v>
      </c>
      <c r="H259">
        <v>7902.9</v>
      </c>
      <c r="I259">
        <v>9687.3352500000001</v>
      </c>
      <c r="J259">
        <v>9235.7265000000007</v>
      </c>
      <c r="K259">
        <v>8670.3649999999998</v>
      </c>
      <c r="L259" s="19">
        <v>45590</v>
      </c>
      <c r="M259" s="19">
        <v>45701</v>
      </c>
      <c r="N259" s="19">
        <v>45716</v>
      </c>
      <c r="O259">
        <v>8234.75</v>
      </c>
      <c r="P259">
        <v>8234.75</v>
      </c>
      <c r="Q259">
        <v>7886.3</v>
      </c>
      <c r="R259">
        <v>580155</v>
      </c>
      <c r="S259">
        <v>331519.55</v>
      </c>
      <c r="T259" t="s">
        <v>386</v>
      </c>
      <c r="U259">
        <v>26.915343810763471</v>
      </c>
    </row>
    <row r="260" spans="1:21" x14ac:dyDescent="0.25">
      <c r="A260" t="s">
        <v>73</v>
      </c>
      <c r="B260">
        <v>-19.747919846388651</v>
      </c>
      <c r="C260">
        <v>-1.5375143654572261</v>
      </c>
      <c r="D260" t="s">
        <v>383</v>
      </c>
      <c r="E260">
        <v>88</v>
      </c>
      <c r="F260" t="s">
        <v>383</v>
      </c>
      <c r="G260">
        <v>13</v>
      </c>
      <c r="H260">
        <v>5997.35</v>
      </c>
      <c r="I260">
        <v>7578.415</v>
      </c>
      <c r="J260">
        <v>7172.8240000000014</v>
      </c>
      <c r="K260">
        <v>6511.5010000000002</v>
      </c>
      <c r="L260" s="19">
        <v>45590</v>
      </c>
      <c r="M260" s="19">
        <v>45699</v>
      </c>
      <c r="N260" s="19">
        <v>45716</v>
      </c>
      <c r="O260">
        <v>6016.25</v>
      </c>
      <c r="P260">
        <v>6113</v>
      </c>
      <c r="Q260">
        <v>5911.65</v>
      </c>
      <c r="R260">
        <v>8965</v>
      </c>
      <c r="S260">
        <v>11171.05</v>
      </c>
      <c r="T260" t="s">
        <v>386</v>
      </c>
      <c r="U260">
        <v>38.398075845460063</v>
      </c>
    </row>
    <row r="261" spans="1:21" x14ac:dyDescent="0.25">
      <c r="A261" t="s">
        <v>25</v>
      </c>
      <c r="B261">
        <v>33.641504089488748</v>
      </c>
      <c r="C261">
        <v>-6.190672719769115E-2</v>
      </c>
      <c r="D261" t="s">
        <v>383</v>
      </c>
      <c r="E261">
        <v>88</v>
      </c>
      <c r="F261" t="s">
        <v>383</v>
      </c>
      <c r="G261">
        <v>14</v>
      </c>
      <c r="H261">
        <v>242.15</v>
      </c>
      <c r="I261">
        <v>304.13475</v>
      </c>
      <c r="J261">
        <v>289.33749999999998</v>
      </c>
      <c r="K261">
        <v>269.512</v>
      </c>
      <c r="L261" s="19">
        <v>45590</v>
      </c>
      <c r="M261" s="19">
        <v>45698</v>
      </c>
      <c r="N261" s="19">
        <v>45716</v>
      </c>
      <c r="O261">
        <v>240</v>
      </c>
      <c r="P261">
        <v>244.8</v>
      </c>
      <c r="Q261">
        <v>236.9</v>
      </c>
      <c r="R261">
        <v>3051149</v>
      </c>
      <c r="S261">
        <v>2283084.9</v>
      </c>
      <c r="T261" t="s">
        <v>386</v>
      </c>
      <c r="U261">
        <v>34.343003865677588</v>
      </c>
    </row>
    <row r="262" spans="1:21" x14ac:dyDescent="0.25">
      <c r="A262" t="s">
        <v>49</v>
      </c>
      <c r="B262">
        <v>-19.324000104711171</v>
      </c>
      <c r="C262">
        <v>-2.072730637549745</v>
      </c>
      <c r="D262" t="s">
        <v>383</v>
      </c>
      <c r="E262">
        <v>89</v>
      </c>
      <c r="F262" t="s">
        <v>383</v>
      </c>
      <c r="G262">
        <v>13</v>
      </c>
      <c r="H262">
        <v>1058.3</v>
      </c>
      <c r="I262">
        <v>1322.22</v>
      </c>
      <c r="J262">
        <v>1263.1575</v>
      </c>
      <c r="K262">
        <v>1195.624</v>
      </c>
      <c r="L262" s="19">
        <v>45589</v>
      </c>
      <c r="M262" s="19">
        <v>45699</v>
      </c>
      <c r="N262" s="19">
        <v>45716</v>
      </c>
      <c r="O262">
        <v>1075.9000000000001</v>
      </c>
      <c r="P262">
        <v>1076.3499999999999</v>
      </c>
      <c r="Q262">
        <v>1053.3</v>
      </c>
      <c r="R262">
        <v>795117</v>
      </c>
      <c r="S262">
        <v>985568.2</v>
      </c>
      <c r="T262" t="s">
        <v>386</v>
      </c>
      <c r="U262">
        <v>32.556382717054007</v>
      </c>
    </row>
    <row r="263" spans="1:21" x14ac:dyDescent="0.25">
      <c r="A263" t="s">
        <v>198</v>
      </c>
      <c r="B263">
        <v>94.263338268383762</v>
      </c>
      <c r="C263">
        <v>-4.392897464846552</v>
      </c>
      <c r="D263" t="s">
        <v>383</v>
      </c>
      <c r="E263">
        <v>90</v>
      </c>
      <c r="F263" t="s">
        <v>383</v>
      </c>
      <c r="G263">
        <v>10</v>
      </c>
      <c r="H263">
        <v>465.75</v>
      </c>
      <c r="I263">
        <v>627.16099999999994</v>
      </c>
      <c r="J263">
        <v>587.12699999999995</v>
      </c>
      <c r="K263">
        <v>548.53499999999997</v>
      </c>
      <c r="L263" s="19">
        <v>45588</v>
      </c>
      <c r="M263" s="19">
        <v>45702</v>
      </c>
      <c r="N263" s="19">
        <v>45716</v>
      </c>
      <c r="O263">
        <v>482.7</v>
      </c>
      <c r="P263">
        <v>484.1</v>
      </c>
      <c r="Q263">
        <v>460.05</v>
      </c>
      <c r="R263">
        <v>94408</v>
      </c>
      <c r="S263">
        <v>48597.95</v>
      </c>
      <c r="T263" t="s">
        <v>384</v>
      </c>
      <c r="U263">
        <v>27.691850781712049</v>
      </c>
    </row>
    <row r="264" spans="1:21" x14ac:dyDescent="0.25">
      <c r="A264" t="s">
        <v>95</v>
      </c>
      <c r="B264">
        <v>123.08281608904019</v>
      </c>
      <c r="C264">
        <v>-1.2995334494703861</v>
      </c>
      <c r="D264" t="s">
        <v>383</v>
      </c>
      <c r="E264">
        <v>90</v>
      </c>
      <c r="F264" t="s">
        <v>383</v>
      </c>
      <c r="G264">
        <v>17</v>
      </c>
      <c r="H264">
        <v>2464.6</v>
      </c>
      <c r="I264">
        <v>3045.56</v>
      </c>
      <c r="J264">
        <v>2849.6315</v>
      </c>
      <c r="K264">
        <v>2670.8429999999998</v>
      </c>
      <c r="L264" s="19">
        <v>45588</v>
      </c>
      <c r="M264" s="19">
        <v>45693</v>
      </c>
      <c r="N264" s="19">
        <v>45716</v>
      </c>
      <c r="O264">
        <v>2486.75</v>
      </c>
      <c r="P264">
        <v>2489.9499999999998</v>
      </c>
      <c r="Q264">
        <v>2450.0500000000002</v>
      </c>
      <c r="R264">
        <v>1038405</v>
      </c>
      <c r="S264">
        <v>465479.6</v>
      </c>
      <c r="T264" t="s">
        <v>386</v>
      </c>
      <c r="U264">
        <v>36.528160229828458</v>
      </c>
    </row>
    <row r="265" spans="1:21" x14ac:dyDescent="0.25">
      <c r="A265" t="s">
        <v>260</v>
      </c>
      <c r="B265">
        <v>-43.108012473244727</v>
      </c>
      <c r="C265">
        <v>1.604898644478139E-2</v>
      </c>
      <c r="D265" t="s">
        <v>383</v>
      </c>
      <c r="E265">
        <v>90</v>
      </c>
      <c r="F265" t="s">
        <v>383</v>
      </c>
      <c r="G265">
        <v>34</v>
      </c>
      <c r="H265">
        <v>4050.75</v>
      </c>
      <c r="I265">
        <v>5137.2967500000004</v>
      </c>
      <c r="J265">
        <v>4987.8770000000004</v>
      </c>
      <c r="K265">
        <v>4665.7559999999994</v>
      </c>
      <c r="L265" s="19">
        <v>45588</v>
      </c>
      <c r="M265" s="19">
        <v>45671</v>
      </c>
      <c r="N265" s="19">
        <v>45716</v>
      </c>
      <c r="O265">
        <v>4000.25</v>
      </c>
      <c r="P265">
        <v>4088.8</v>
      </c>
      <c r="Q265">
        <v>3910</v>
      </c>
      <c r="R265">
        <v>52535</v>
      </c>
      <c r="S265">
        <v>92341.65</v>
      </c>
      <c r="T265" t="s">
        <v>386</v>
      </c>
      <c r="U265">
        <v>28.776401226723848</v>
      </c>
    </row>
    <row r="266" spans="1:21" x14ac:dyDescent="0.25">
      <c r="A266" t="s">
        <v>166</v>
      </c>
      <c r="B266">
        <v>29.014451340656301</v>
      </c>
      <c r="C266">
        <v>0.1937638630395408</v>
      </c>
      <c r="D266" t="s">
        <v>383</v>
      </c>
      <c r="E266">
        <v>91</v>
      </c>
      <c r="F266" t="s">
        <v>383</v>
      </c>
      <c r="G266">
        <v>10</v>
      </c>
      <c r="H266">
        <v>1964.95</v>
      </c>
      <c r="I266">
        <v>2566.17875</v>
      </c>
      <c r="J266">
        <v>2332.4005000000002</v>
      </c>
      <c r="K266">
        <v>2173.768</v>
      </c>
      <c r="L266" s="19">
        <v>45587</v>
      </c>
      <c r="M266" s="19">
        <v>45702</v>
      </c>
      <c r="N266" s="19">
        <v>45716</v>
      </c>
      <c r="O266">
        <v>1951</v>
      </c>
      <c r="P266">
        <v>2050</v>
      </c>
      <c r="Q266">
        <v>1903.8</v>
      </c>
      <c r="R266">
        <v>193285</v>
      </c>
      <c r="S266">
        <v>149816.54999999999</v>
      </c>
      <c r="T266" t="s">
        <v>384</v>
      </c>
      <c r="U266">
        <v>28.35784802194129</v>
      </c>
    </row>
    <row r="267" spans="1:21" x14ac:dyDescent="0.25">
      <c r="A267" t="s">
        <v>175</v>
      </c>
      <c r="B267">
        <v>104.53864022834139</v>
      </c>
      <c r="C267">
        <v>-1.643426294820723</v>
      </c>
      <c r="D267" t="s">
        <v>383</v>
      </c>
      <c r="E267">
        <v>91</v>
      </c>
      <c r="F267" t="s">
        <v>383</v>
      </c>
      <c r="G267">
        <v>15</v>
      </c>
      <c r="H267">
        <v>395</v>
      </c>
      <c r="I267">
        <v>442.57799999999997</v>
      </c>
      <c r="J267">
        <v>441.38520000000011</v>
      </c>
      <c r="K267">
        <v>433.9178</v>
      </c>
      <c r="L267" s="19">
        <v>45587</v>
      </c>
      <c r="M267" s="19">
        <v>45695</v>
      </c>
      <c r="N267" s="19">
        <v>45716</v>
      </c>
      <c r="O267">
        <v>399</v>
      </c>
      <c r="P267">
        <v>402.5</v>
      </c>
      <c r="Q267">
        <v>392.2</v>
      </c>
      <c r="R267">
        <v>31954776</v>
      </c>
      <c r="S267">
        <v>15622855.4</v>
      </c>
      <c r="T267" t="s">
        <v>386</v>
      </c>
      <c r="U267">
        <v>26.883446444652449</v>
      </c>
    </row>
    <row r="268" spans="1:21" x14ac:dyDescent="0.25">
      <c r="A268" t="s">
        <v>26</v>
      </c>
      <c r="B268">
        <v>52.453155524681833</v>
      </c>
      <c r="C268">
        <v>-0.84987632396776502</v>
      </c>
      <c r="D268" t="s">
        <v>383</v>
      </c>
      <c r="E268">
        <v>91</v>
      </c>
      <c r="F268" t="s">
        <v>383</v>
      </c>
      <c r="G268">
        <v>18</v>
      </c>
      <c r="H268">
        <v>156.33000000000001</v>
      </c>
      <c r="I268">
        <v>205.99005</v>
      </c>
      <c r="J268">
        <v>186.51230000000001</v>
      </c>
      <c r="K268">
        <v>170.87459999999999</v>
      </c>
      <c r="L268" s="19">
        <v>45587</v>
      </c>
      <c r="M268" s="19">
        <v>45692</v>
      </c>
      <c r="N268" s="19">
        <v>45716</v>
      </c>
      <c r="O268">
        <v>155.1</v>
      </c>
      <c r="P268">
        <v>158.77000000000001</v>
      </c>
      <c r="Q268">
        <v>155.01</v>
      </c>
      <c r="R268">
        <v>6053279</v>
      </c>
      <c r="S268">
        <v>3970582.95</v>
      </c>
      <c r="T268" t="s">
        <v>384</v>
      </c>
      <c r="U268">
        <v>40.163301287091777</v>
      </c>
    </row>
    <row r="269" spans="1:21" x14ac:dyDescent="0.25">
      <c r="A269" t="s">
        <v>325</v>
      </c>
      <c r="B269">
        <v>51.233216071669027</v>
      </c>
      <c r="C269">
        <v>-1.0743384526642219</v>
      </c>
      <c r="D269" t="s">
        <v>383</v>
      </c>
      <c r="E269">
        <v>91</v>
      </c>
      <c r="F269" t="s">
        <v>385</v>
      </c>
      <c r="G269">
        <v>21</v>
      </c>
      <c r="H269">
        <v>137.19999999999999</v>
      </c>
      <c r="I269">
        <v>152.41409999999999</v>
      </c>
      <c r="J269">
        <v>141.0686</v>
      </c>
      <c r="K269">
        <v>133.7364</v>
      </c>
      <c r="L269" s="19">
        <v>45587</v>
      </c>
      <c r="M269" s="19">
        <v>45688</v>
      </c>
      <c r="N269" s="19">
        <v>45716</v>
      </c>
      <c r="O269">
        <v>137.80000000000001</v>
      </c>
      <c r="P269">
        <v>137.80000000000001</v>
      </c>
      <c r="Q269">
        <v>134.06</v>
      </c>
      <c r="R269">
        <v>45540594</v>
      </c>
      <c r="S269">
        <v>30112825.199999999</v>
      </c>
      <c r="T269" t="s">
        <v>384</v>
      </c>
      <c r="U269">
        <v>53.759945505278289</v>
      </c>
    </row>
    <row r="270" spans="1:21" x14ac:dyDescent="0.25">
      <c r="A270" t="s">
        <v>91</v>
      </c>
      <c r="B270">
        <v>98.553614120538967</v>
      </c>
      <c r="C270">
        <v>-2.3349408458522771</v>
      </c>
      <c r="D270" t="s">
        <v>383</v>
      </c>
      <c r="E270">
        <v>92</v>
      </c>
      <c r="F270" t="s">
        <v>383</v>
      </c>
      <c r="G270">
        <v>2</v>
      </c>
      <c r="H270">
        <v>1407.5</v>
      </c>
      <c r="I270">
        <v>1521.7817500000001</v>
      </c>
      <c r="J270">
        <v>1490.6175000000001</v>
      </c>
      <c r="K270">
        <v>1464.2159999999999</v>
      </c>
      <c r="L270" s="19">
        <v>45586</v>
      </c>
      <c r="M270" s="19">
        <v>45715</v>
      </c>
      <c r="N270" s="19">
        <v>45716</v>
      </c>
      <c r="O270">
        <v>1440</v>
      </c>
      <c r="P270">
        <v>1448.7</v>
      </c>
      <c r="Q270">
        <v>1400</v>
      </c>
      <c r="R270">
        <v>3340343</v>
      </c>
      <c r="S270">
        <v>1682338.05</v>
      </c>
      <c r="T270" t="s">
        <v>386</v>
      </c>
      <c r="U270">
        <v>37.651882527976177</v>
      </c>
    </row>
    <row r="271" spans="1:21" x14ac:dyDescent="0.25">
      <c r="A271" t="s">
        <v>352</v>
      </c>
      <c r="B271">
        <v>24.592257296009532</v>
      </c>
      <c r="C271">
        <v>-1.935878058976745</v>
      </c>
      <c r="D271" t="s">
        <v>383</v>
      </c>
      <c r="E271">
        <v>92</v>
      </c>
      <c r="F271" t="s">
        <v>383</v>
      </c>
      <c r="G271">
        <v>12</v>
      </c>
      <c r="H271">
        <v>1524.75</v>
      </c>
      <c r="I271">
        <v>1861.95425</v>
      </c>
      <c r="J271">
        <v>1781.7365</v>
      </c>
      <c r="K271">
        <v>1681.6669999999999</v>
      </c>
      <c r="L271" s="19">
        <v>45586</v>
      </c>
      <c r="M271" s="19">
        <v>45700</v>
      </c>
      <c r="N271" s="19">
        <v>45716</v>
      </c>
      <c r="O271">
        <v>1560.05</v>
      </c>
      <c r="P271">
        <v>1585</v>
      </c>
      <c r="Q271">
        <v>1513.05</v>
      </c>
      <c r="R271">
        <v>65372</v>
      </c>
      <c r="S271">
        <v>52468.75</v>
      </c>
      <c r="T271" t="s">
        <v>386</v>
      </c>
      <c r="U271">
        <v>32.982792803547568</v>
      </c>
    </row>
    <row r="272" spans="1:21" x14ac:dyDescent="0.25">
      <c r="A272" t="s">
        <v>159</v>
      </c>
      <c r="B272">
        <v>114.65549146534021</v>
      </c>
      <c r="C272">
        <v>-2.4365798792846092</v>
      </c>
      <c r="D272" t="s">
        <v>383</v>
      </c>
      <c r="E272">
        <v>92</v>
      </c>
      <c r="F272" t="s">
        <v>383</v>
      </c>
      <c r="G272">
        <v>15</v>
      </c>
      <c r="H272">
        <v>2190.25</v>
      </c>
      <c r="I272">
        <v>2553.1334999999999</v>
      </c>
      <c r="J272">
        <v>2437.2130000000002</v>
      </c>
      <c r="K272">
        <v>2352.2649999999999</v>
      </c>
      <c r="L272" s="19">
        <v>45586</v>
      </c>
      <c r="M272" s="19">
        <v>45695</v>
      </c>
      <c r="N272" s="19">
        <v>45716</v>
      </c>
      <c r="O272">
        <v>2245.0500000000002</v>
      </c>
      <c r="P272">
        <v>2249.6</v>
      </c>
      <c r="Q272">
        <v>2185.85</v>
      </c>
      <c r="R272">
        <v>3683249</v>
      </c>
      <c r="S272">
        <v>1715888.55</v>
      </c>
      <c r="T272" t="s">
        <v>386</v>
      </c>
      <c r="U272">
        <v>27.677546526763859</v>
      </c>
    </row>
    <row r="273" spans="1:21" x14ac:dyDescent="0.25">
      <c r="A273" t="s">
        <v>190</v>
      </c>
      <c r="B273">
        <v>-30.3245979167888</v>
      </c>
      <c r="C273">
        <v>-2.5664475564447038</v>
      </c>
      <c r="D273" t="s">
        <v>383</v>
      </c>
      <c r="E273">
        <v>93</v>
      </c>
      <c r="F273" t="s">
        <v>383</v>
      </c>
      <c r="G273">
        <v>40</v>
      </c>
      <c r="H273">
        <v>852.3</v>
      </c>
      <c r="I273">
        <v>1256.27775</v>
      </c>
      <c r="J273">
        <v>1122.403</v>
      </c>
      <c r="K273">
        <v>1012.034</v>
      </c>
      <c r="L273" s="19">
        <v>45583</v>
      </c>
      <c r="M273" s="19">
        <v>45663</v>
      </c>
      <c r="N273" s="19">
        <v>45716</v>
      </c>
      <c r="O273">
        <v>865</v>
      </c>
      <c r="P273">
        <v>866.85</v>
      </c>
      <c r="Q273">
        <v>846.5</v>
      </c>
      <c r="R273">
        <v>178268</v>
      </c>
      <c r="S273">
        <v>255855</v>
      </c>
      <c r="T273" t="s">
        <v>386</v>
      </c>
      <c r="U273">
        <v>25.603977212853351</v>
      </c>
    </row>
    <row r="274" spans="1:21" x14ac:dyDescent="0.25">
      <c r="A274" t="s">
        <v>171</v>
      </c>
      <c r="B274">
        <v>-30.57511189407246</v>
      </c>
      <c r="C274">
        <v>-3.3215980407163719</v>
      </c>
      <c r="D274" t="s">
        <v>383</v>
      </c>
      <c r="E274">
        <v>94</v>
      </c>
      <c r="F274" t="s">
        <v>383</v>
      </c>
      <c r="G274">
        <v>1</v>
      </c>
      <c r="H274">
        <v>189.48</v>
      </c>
      <c r="I274">
        <v>229.76740000000001</v>
      </c>
      <c r="J274">
        <v>201.58699999999999</v>
      </c>
      <c r="K274">
        <v>198.9238</v>
      </c>
      <c r="L274" s="19">
        <v>45582</v>
      </c>
      <c r="M274" s="19">
        <v>45716</v>
      </c>
      <c r="N274" s="19">
        <v>45716</v>
      </c>
      <c r="O274">
        <v>193.7</v>
      </c>
      <c r="P274">
        <v>195.57</v>
      </c>
      <c r="Q274">
        <v>187.57</v>
      </c>
      <c r="R274">
        <v>2740916</v>
      </c>
      <c r="S274">
        <v>3948030.85</v>
      </c>
      <c r="T274" t="s">
        <v>386</v>
      </c>
      <c r="U274">
        <v>43.263893812170707</v>
      </c>
    </row>
    <row r="275" spans="1:21" x14ac:dyDescent="0.25">
      <c r="A275" t="s">
        <v>158</v>
      </c>
      <c r="B275">
        <v>48.338397649741808</v>
      </c>
      <c r="C275">
        <v>-2.0866859065579728</v>
      </c>
      <c r="D275" t="s">
        <v>383</v>
      </c>
      <c r="E275">
        <v>94</v>
      </c>
      <c r="F275" t="s">
        <v>383</v>
      </c>
      <c r="G275">
        <v>13</v>
      </c>
      <c r="H275">
        <v>3681.1</v>
      </c>
      <c r="I275">
        <v>4993.9927500000003</v>
      </c>
      <c r="J275">
        <v>4485.8594999999996</v>
      </c>
      <c r="K275">
        <v>4099.0850000000009</v>
      </c>
      <c r="L275" s="19">
        <v>45582</v>
      </c>
      <c r="M275" s="19">
        <v>45699</v>
      </c>
      <c r="N275" s="19">
        <v>45716</v>
      </c>
      <c r="O275">
        <v>3745.6</v>
      </c>
      <c r="P275">
        <v>3746.95</v>
      </c>
      <c r="Q275">
        <v>3662.15</v>
      </c>
      <c r="R275">
        <v>995134</v>
      </c>
      <c r="S275">
        <v>670853.94999999995</v>
      </c>
      <c r="T275" t="s">
        <v>386</v>
      </c>
      <c r="U275">
        <v>28.42901539014008</v>
      </c>
    </row>
    <row r="276" spans="1:21" x14ac:dyDescent="0.25">
      <c r="A276" t="s">
        <v>187</v>
      </c>
      <c r="B276">
        <v>34.195978790908043</v>
      </c>
      <c r="C276">
        <v>-3.5019455252918421</v>
      </c>
      <c r="D276" t="s">
        <v>383</v>
      </c>
      <c r="E276">
        <v>94</v>
      </c>
      <c r="F276" t="s">
        <v>383</v>
      </c>
      <c r="G276">
        <v>14</v>
      </c>
      <c r="H276">
        <v>322.39999999999998</v>
      </c>
      <c r="I276">
        <v>459.96600000000001</v>
      </c>
      <c r="J276">
        <v>419.2765</v>
      </c>
      <c r="K276">
        <v>380.21300000000002</v>
      </c>
      <c r="L276" s="19">
        <v>45582</v>
      </c>
      <c r="M276" s="19">
        <v>45698</v>
      </c>
      <c r="N276" s="19">
        <v>45716</v>
      </c>
      <c r="O276">
        <v>330</v>
      </c>
      <c r="P276">
        <v>335.5</v>
      </c>
      <c r="Q276">
        <v>319.64999999999998</v>
      </c>
      <c r="R276">
        <v>868344</v>
      </c>
      <c r="S276">
        <v>647071.55000000005</v>
      </c>
      <c r="T276" t="s">
        <v>386</v>
      </c>
      <c r="U276">
        <v>28.832343620721929</v>
      </c>
    </row>
    <row r="277" spans="1:21" x14ac:dyDescent="0.25">
      <c r="A277" t="s">
        <v>46</v>
      </c>
      <c r="B277">
        <v>20.34171329968509</v>
      </c>
      <c r="C277">
        <v>-1.53140740406117</v>
      </c>
      <c r="D277" t="s">
        <v>383</v>
      </c>
      <c r="E277">
        <v>96</v>
      </c>
      <c r="F277" t="s">
        <v>383</v>
      </c>
      <c r="G277">
        <v>14</v>
      </c>
      <c r="H277">
        <v>2179.75</v>
      </c>
      <c r="I277">
        <v>2760.0709999999999</v>
      </c>
      <c r="J277">
        <v>2478.9895000000001</v>
      </c>
      <c r="K277">
        <v>2268.3690000000001</v>
      </c>
      <c r="L277" s="19">
        <v>45580</v>
      </c>
      <c r="M277" s="19">
        <v>45698</v>
      </c>
      <c r="N277" s="19">
        <v>45716</v>
      </c>
      <c r="O277">
        <v>2210</v>
      </c>
      <c r="P277">
        <v>2211.35</v>
      </c>
      <c r="Q277">
        <v>2175.8000000000002</v>
      </c>
      <c r="R277">
        <v>1701193</v>
      </c>
      <c r="S277">
        <v>1413635.35</v>
      </c>
      <c r="T277" t="s">
        <v>386</v>
      </c>
      <c r="U277">
        <v>35.619983017878972</v>
      </c>
    </row>
    <row r="278" spans="1:21" x14ac:dyDescent="0.25">
      <c r="A278" t="s">
        <v>283</v>
      </c>
      <c r="B278">
        <v>86.011146523800761</v>
      </c>
      <c r="C278">
        <v>-3.916027452563585</v>
      </c>
      <c r="D278" t="s">
        <v>383</v>
      </c>
      <c r="E278">
        <v>96</v>
      </c>
      <c r="F278" t="s">
        <v>383</v>
      </c>
      <c r="G278">
        <v>28</v>
      </c>
      <c r="H278">
        <v>595</v>
      </c>
      <c r="I278">
        <v>804.30150000000003</v>
      </c>
      <c r="J278">
        <v>776.81450000000007</v>
      </c>
      <c r="K278">
        <v>735.69299999999998</v>
      </c>
      <c r="L278" s="19">
        <v>45580</v>
      </c>
      <c r="M278" s="19">
        <v>45679</v>
      </c>
      <c r="N278" s="19">
        <v>45716</v>
      </c>
      <c r="O278">
        <v>617</v>
      </c>
      <c r="P278">
        <v>617.65</v>
      </c>
      <c r="Q278">
        <v>581</v>
      </c>
      <c r="R278">
        <v>82321</v>
      </c>
      <c r="S278">
        <v>44255.95</v>
      </c>
      <c r="T278" t="s">
        <v>386</v>
      </c>
      <c r="U278">
        <v>24.855390318947261</v>
      </c>
    </row>
    <row r="279" spans="1:21" x14ac:dyDescent="0.25">
      <c r="A279" t="s">
        <v>192</v>
      </c>
      <c r="B279">
        <v>-21.863323013552829</v>
      </c>
      <c r="C279">
        <v>-1.7724810400866751</v>
      </c>
      <c r="D279" t="s">
        <v>383</v>
      </c>
      <c r="E279">
        <v>97</v>
      </c>
      <c r="F279" t="s">
        <v>383</v>
      </c>
      <c r="G279">
        <v>13</v>
      </c>
      <c r="H279">
        <v>226.66</v>
      </c>
      <c r="I279">
        <v>274.04975000000002</v>
      </c>
      <c r="J279">
        <v>260.36200000000002</v>
      </c>
      <c r="K279">
        <v>245.46799999999999</v>
      </c>
      <c r="L279" s="19">
        <v>45579</v>
      </c>
      <c r="M279" s="19">
        <v>45699</v>
      </c>
      <c r="N279" s="19">
        <v>45716</v>
      </c>
      <c r="O279">
        <v>228.7</v>
      </c>
      <c r="P279">
        <v>230.49</v>
      </c>
      <c r="Q279">
        <v>221.38</v>
      </c>
      <c r="R279">
        <v>329766</v>
      </c>
      <c r="S279">
        <v>422037.4</v>
      </c>
      <c r="T279" t="s">
        <v>384</v>
      </c>
      <c r="U279">
        <v>37.875588685533607</v>
      </c>
    </row>
    <row r="280" spans="1:21" x14ac:dyDescent="0.25">
      <c r="A280" t="s">
        <v>317</v>
      </c>
      <c r="B280">
        <v>-7.4097705735231933</v>
      </c>
      <c r="C280">
        <v>-3.372913440027538</v>
      </c>
      <c r="D280" t="s">
        <v>383</v>
      </c>
      <c r="E280">
        <v>97</v>
      </c>
      <c r="F280" t="s">
        <v>383</v>
      </c>
      <c r="G280">
        <v>57</v>
      </c>
      <c r="H280">
        <v>561.5</v>
      </c>
      <c r="I280">
        <v>740.44550000000004</v>
      </c>
      <c r="J280">
        <v>694.03449999999998</v>
      </c>
      <c r="K280">
        <v>637.75800000000004</v>
      </c>
      <c r="L280" s="19">
        <v>45579</v>
      </c>
      <c r="M280" s="19">
        <v>45637</v>
      </c>
      <c r="N280" s="19">
        <v>45716</v>
      </c>
      <c r="O280">
        <v>576.6</v>
      </c>
      <c r="P280">
        <v>579.95000000000005</v>
      </c>
      <c r="Q280">
        <v>553.6</v>
      </c>
      <c r="R280">
        <v>543812</v>
      </c>
      <c r="S280">
        <v>587331.94999999995</v>
      </c>
      <c r="T280" t="s">
        <v>386</v>
      </c>
      <c r="U280">
        <v>31.330096763809209</v>
      </c>
    </row>
    <row r="281" spans="1:21" x14ac:dyDescent="0.25">
      <c r="A281" t="s">
        <v>96</v>
      </c>
      <c r="B281">
        <v>30.027002766767762</v>
      </c>
      <c r="C281">
        <v>-1.6107494575196091</v>
      </c>
      <c r="D281" t="s">
        <v>383</v>
      </c>
      <c r="E281">
        <v>98</v>
      </c>
      <c r="F281" t="s">
        <v>383</v>
      </c>
      <c r="G281">
        <v>37</v>
      </c>
      <c r="H281">
        <v>589.45000000000005</v>
      </c>
      <c r="I281">
        <v>770.77900000000011</v>
      </c>
      <c r="J281">
        <v>712.68399999999997</v>
      </c>
      <c r="K281">
        <v>682.31399999999996</v>
      </c>
      <c r="L281" s="19">
        <v>45576</v>
      </c>
      <c r="M281" s="19">
        <v>45666</v>
      </c>
      <c r="N281" s="19">
        <v>45716</v>
      </c>
      <c r="O281">
        <v>596.04999999999995</v>
      </c>
      <c r="P281">
        <v>599</v>
      </c>
      <c r="Q281">
        <v>582</v>
      </c>
      <c r="R281">
        <v>17600</v>
      </c>
      <c r="S281">
        <v>13535.65</v>
      </c>
      <c r="T281" t="s">
        <v>384</v>
      </c>
      <c r="U281">
        <v>29.035824879876291</v>
      </c>
    </row>
    <row r="282" spans="1:21" x14ac:dyDescent="0.25">
      <c r="A282" t="s">
        <v>52</v>
      </c>
      <c r="B282">
        <v>114.7365714038821</v>
      </c>
      <c r="C282">
        <v>-0.11311104553949949</v>
      </c>
      <c r="D282" t="s">
        <v>383</v>
      </c>
      <c r="E282">
        <v>99</v>
      </c>
      <c r="F282" t="s">
        <v>385</v>
      </c>
      <c r="G282">
        <v>6</v>
      </c>
      <c r="H282">
        <v>1015.55</v>
      </c>
      <c r="I282">
        <v>1147.0487499999999</v>
      </c>
      <c r="J282">
        <v>1089.1945000000001</v>
      </c>
      <c r="K282">
        <v>1021.98</v>
      </c>
      <c r="L282" s="19">
        <v>45575</v>
      </c>
      <c r="M282" s="19">
        <v>45708</v>
      </c>
      <c r="N282" s="19">
        <v>45716</v>
      </c>
      <c r="O282">
        <v>1014.8</v>
      </c>
      <c r="P282">
        <v>1035.5</v>
      </c>
      <c r="Q282">
        <v>1009.95</v>
      </c>
      <c r="R282">
        <v>15026849</v>
      </c>
      <c r="S282">
        <v>6997806.1500000004</v>
      </c>
      <c r="T282" t="s">
        <v>386</v>
      </c>
      <c r="U282">
        <v>52.066075636156043</v>
      </c>
    </row>
    <row r="283" spans="1:21" x14ac:dyDescent="0.25">
      <c r="A283" t="s">
        <v>280</v>
      </c>
      <c r="B283">
        <v>-22.117776262513502</v>
      </c>
      <c r="C283">
        <v>-3.3343082772740509</v>
      </c>
      <c r="D283" t="s">
        <v>383</v>
      </c>
      <c r="E283">
        <v>99</v>
      </c>
      <c r="F283" t="s">
        <v>383</v>
      </c>
      <c r="G283">
        <v>13</v>
      </c>
      <c r="H283">
        <v>330.5</v>
      </c>
      <c r="I283">
        <v>476.93124999999998</v>
      </c>
      <c r="J283">
        <v>433.01299999999998</v>
      </c>
      <c r="K283">
        <v>388.28399999999999</v>
      </c>
      <c r="L283" s="19">
        <v>45575</v>
      </c>
      <c r="M283" s="19">
        <v>45699</v>
      </c>
      <c r="N283" s="19">
        <v>45716</v>
      </c>
      <c r="O283">
        <v>333.8</v>
      </c>
      <c r="P283">
        <v>343.4</v>
      </c>
      <c r="Q283">
        <v>327.05</v>
      </c>
      <c r="R283">
        <v>161334</v>
      </c>
      <c r="S283">
        <v>207151.25</v>
      </c>
      <c r="T283" t="s">
        <v>386</v>
      </c>
      <c r="U283">
        <v>33.659951722811542</v>
      </c>
    </row>
    <row r="284" spans="1:21" x14ac:dyDescent="0.25">
      <c r="A284" t="s">
        <v>103</v>
      </c>
      <c r="B284">
        <v>-53.714214409870927</v>
      </c>
      <c r="C284">
        <v>-1.7591339648173261</v>
      </c>
      <c r="D284" t="s">
        <v>383</v>
      </c>
      <c r="E284">
        <v>100</v>
      </c>
      <c r="F284" t="s">
        <v>383</v>
      </c>
      <c r="G284">
        <v>13</v>
      </c>
      <c r="H284">
        <v>1851.3</v>
      </c>
      <c r="I284">
        <v>2614.4317500000002</v>
      </c>
      <c r="J284">
        <v>2500.1819999999998</v>
      </c>
      <c r="K284">
        <v>2289.56</v>
      </c>
      <c r="L284" s="19">
        <v>45574</v>
      </c>
      <c r="M284" s="19">
        <v>45699</v>
      </c>
      <c r="N284" s="19">
        <v>45716</v>
      </c>
      <c r="O284">
        <v>1875</v>
      </c>
      <c r="P284">
        <v>1886.95</v>
      </c>
      <c r="Q284">
        <v>1827.15</v>
      </c>
      <c r="R284">
        <v>290439</v>
      </c>
      <c r="S284">
        <v>627490.69999999995</v>
      </c>
      <c r="T284" t="s">
        <v>386</v>
      </c>
      <c r="U284">
        <v>25.097870536059769</v>
      </c>
    </row>
    <row r="285" spans="1:21" x14ac:dyDescent="0.25">
      <c r="A285" t="s">
        <v>58</v>
      </c>
      <c r="B285">
        <v>30.169835596642141</v>
      </c>
      <c r="C285">
        <v>-3.9401366607249089</v>
      </c>
      <c r="D285" t="s">
        <v>383</v>
      </c>
      <c r="E285">
        <v>100</v>
      </c>
      <c r="F285" t="s">
        <v>383</v>
      </c>
      <c r="G285">
        <v>14</v>
      </c>
      <c r="H285">
        <v>1293.3499999999999</v>
      </c>
      <c r="I285">
        <v>2069.2184999999999</v>
      </c>
      <c r="J285">
        <v>1874.556</v>
      </c>
      <c r="K285">
        <v>1672.07</v>
      </c>
      <c r="L285" s="19">
        <v>45574</v>
      </c>
      <c r="M285" s="19">
        <v>45698</v>
      </c>
      <c r="N285" s="19">
        <v>45716</v>
      </c>
      <c r="O285">
        <v>1339.8</v>
      </c>
      <c r="P285">
        <v>1339.8</v>
      </c>
      <c r="Q285">
        <v>1279.25</v>
      </c>
      <c r="R285">
        <v>87463</v>
      </c>
      <c r="S285">
        <v>67191.45</v>
      </c>
      <c r="T285" t="s">
        <v>384</v>
      </c>
      <c r="U285">
        <v>24.20181240948305</v>
      </c>
    </row>
    <row r="286" spans="1:21" x14ac:dyDescent="0.25">
      <c r="A286" t="s">
        <v>20</v>
      </c>
      <c r="B286">
        <v>1.4179241661944311</v>
      </c>
      <c r="C286">
        <v>-0.36980222429189719</v>
      </c>
      <c r="D286" t="s">
        <v>383</v>
      </c>
      <c r="E286">
        <v>100</v>
      </c>
      <c r="F286" t="s">
        <v>383</v>
      </c>
      <c r="G286">
        <v>15</v>
      </c>
      <c r="H286">
        <v>1818.55</v>
      </c>
      <c r="I286">
        <v>2311.7935000000002</v>
      </c>
      <c r="J286">
        <v>2113.8995</v>
      </c>
      <c r="K286">
        <v>1978.8109999999999</v>
      </c>
      <c r="L286" s="19">
        <v>45574</v>
      </c>
      <c r="M286" s="19">
        <v>45695</v>
      </c>
      <c r="N286" s="19">
        <v>45716</v>
      </c>
      <c r="O286">
        <v>1820</v>
      </c>
      <c r="P286">
        <v>1825.1</v>
      </c>
      <c r="Q286">
        <v>1796</v>
      </c>
      <c r="R286">
        <v>260128</v>
      </c>
      <c r="S286">
        <v>256491.15</v>
      </c>
      <c r="T286" t="s">
        <v>384</v>
      </c>
      <c r="U286">
        <v>30.391983514673999</v>
      </c>
    </row>
    <row r="287" spans="1:21" x14ac:dyDescent="0.25">
      <c r="A287" t="s">
        <v>116</v>
      </c>
      <c r="B287">
        <v>77.979486906971573</v>
      </c>
      <c r="C287">
        <v>-0.7596020113405304</v>
      </c>
      <c r="D287" t="s">
        <v>383</v>
      </c>
      <c r="E287">
        <v>100</v>
      </c>
      <c r="F287" t="s">
        <v>383</v>
      </c>
      <c r="G287">
        <v>53</v>
      </c>
      <c r="H287">
        <v>92.76</v>
      </c>
      <c r="I287">
        <v>169.3887</v>
      </c>
      <c r="J287">
        <v>143.40110000000001</v>
      </c>
      <c r="K287">
        <v>121.59399999999999</v>
      </c>
      <c r="L287" s="19">
        <v>45574</v>
      </c>
      <c r="M287" s="19">
        <v>45643</v>
      </c>
      <c r="N287" s="19">
        <v>45716</v>
      </c>
      <c r="O287">
        <v>92.5</v>
      </c>
      <c r="P287">
        <v>94.5</v>
      </c>
      <c r="Q287">
        <v>89.81</v>
      </c>
      <c r="R287">
        <v>3165015</v>
      </c>
      <c r="S287">
        <v>1778303.25</v>
      </c>
      <c r="T287" t="s">
        <v>386</v>
      </c>
      <c r="U287">
        <v>28.600152429555681</v>
      </c>
    </row>
    <row r="288" spans="1:21" x14ac:dyDescent="0.25">
      <c r="A288" t="s">
        <v>292</v>
      </c>
      <c r="B288">
        <v>1115.5941537933099</v>
      </c>
      <c r="C288">
        <v>0.49530264595886808</v>
      </c>
      <c r="D288" t="s">
        <v>383</v>
      </c>
      <c r="E288">
        <v>101</v>
      </c>
      <c r="F288" t="s">
        <v>383</v>
      </c>
      <c r="G288">
        <v>14</v>
      </c>
      <c r="H288">
        <v>5011.55</v>
      </c>
      <c r="I288">
        <v>6618.7237500000001</v>
      </c>
      <c r="J288">
        <v>6001.9709999999995</v>
      </c>
      <c r="K288">
        <v>5567.0520000000006</v>
      </c>
      <c r="L288" s="19">
        <v>45573</v>
      </c>
      <c r="M288" s="19">
        <v>45698</v>
      </c>
      <c r="N288" s="19">
        <v>45716</v>
      </c>
      <c r="O288">
        <v>5098.95</v>
      </c>
      <c r="P288">
        <v>5324.4</v>
      </c>
      <c r="Q288">
        <v>4902</v>
      </c>
      <c r="R288">
        <v>417604</v>
      </c>
      <c r="S288">
        <v>34353.9</v>
      </c>
      <c r="T288" t="s">
        <v>384</v>
      </c>
      <c r="U288">
        <v>30.54812574139012</v>
      </c>
    </row>
    <row r="289" spans="1:21" x14ac:dyDescent="0.25">
      <c r="A289" t="s">
        <v>59</v>
      </c>
      <c r="B289">
        <v>227.53764328195771</v>
      </c>
      <c r="C289">
        <v>-2.6136977120836908</v>
      </c>
      <c r="D289" t="s">
        <v>383</v>
      </c>
      <c r="E289">
        <v>102</v>
      </c>
      <c r="F289" t="s">
        <v>383</v>
      </c>
      <c r="G289">
        <v>1</v>
      </c>
      <c r="H289">
        <v>2615.65</v>
      </c>
      <c r="I289">
        <v>2930.43525</v>
      </c>
      <c r="J289">
        <v>2792.4250000000002</v>
      </c>
      <c r="K289">
        <v>2730.3490000000002</v>
      </c>
      <c r="L289" s="19">
        <v>45572</v>
      </c>
      <c r="M289" s="19">
        <v>45716</v>
      </c>
      <c r="N289" s="19">
        <v>45716</v>
      </c>
      <c r="O289">
        <v>2671.15</v>
      </c>
      <c r="P289">
        <v>2683.2</v>
      </c>
      <c r="Q289">
        <v>2601.25</v>
      </c>
      <c r="R289">
        <v>479267</v>
      </c>
      <c r="S289">
        <v>146324.25</v>
      </c>
      <c r="T289" t="s">
        <v>386</v>
      </c>
      <c r="U289">
        <v>40.643423634283288</v>
      </c>
    </row>
    <row r="290" spans="1:21" x14ac:dyDescent="0.25">
      <c r="A290" t="s">
        <v>100</v>
      </c>
      <c r="B290">
        <v>-1.828654456482234</v>
      </c>
      <c r="C290">
        <v>-3.3153691549721742</v>
      </c>
      <c r="D290" t="s">
        <v>383</v>
      </c>
      <c r="E290">
        <v>102</v>
      </c>
      <c r="F290" t="s">
        <v>383</v>
      </c>
      <c r="G290">
        <v>12</v>
      </c>
      <c r="H290">
        <v>2717.95</v>
      </c>
      <c r="I290">
        <v>3507.0507499999999</v>
      </c>
      <c r="J290">
        <v>3237.6804999999999</v>
      </c>
      <c r="K290">
        <v>2955.181</v>
      </c>
      <c r="L290" s="19">
        <v>45572</v>
      </c>
      <c r="M290" s="19">
        <v>45700</v>
      </c>
      <c r="N290" s="19">
        <v>45716</v>
      </c>
      <c r="O290">
        <v>2800</v>
      </c>
      <c r="P290">
        <v>2805</v>
      </c>
      <c r="Q290">
        <v>2701.45</v>
      </c>
      <c r="R290">
        <v>826862</v>
      </c>
      <c r="S290">
        <v>842264.1</v>
      </c>
      <c r="T290" t="s">
        <v>386</v>
      </c>
      <c r="U290">
        <v>39.973326568041578</v>
      </c>
    </row>
    <row r="291" spans="1:21" x14ac:dyDescent="0.25">
      <c r="A291" t="s">
        <v>70</v>
      </c>
      <c r="B291">
        <v>28.623499737349061</v>
      </c>
      <c r="C291">
        <v>1.632100349226707</v>
      </c>
      <c r="D291" t="s">
        <v>383</v>
      </c>
      <c r="E291">
        <v>102</v>
      </c>
      <c r="F291" t="s">
        <v>383</v>
      </c>
      <c r="G291">
        <v>53</v>
      </c>
      <c r="H291">
        <v>142.6</v>
      </c>
      <c r="I291">
        <v>238.18385000000001</v>
      </c>
      <c r="J291">
        <v>210.7277</v>
      </c>
      <c r="K291">
        <v>185.6292</v>
      </c>
      <c r="L291" s="19">
        <v>45572</v>
      </c>
      <c r="M291" s="19">
        <v>45643</v>
      </c>
      <c r="N291" s="19">
        <v>45716</v>
      </c>
      <c r="O291">
        <v>138</v>
      </c>
      <c r="P291">
        <v>143.85</v>
      </c>
      <c r="Q291">
        <v>135.22</v>
      </c>
      <c r="R291">
        <v>132100</v>
      </c>
      <c r="S291">
        <v>102702.85</v>
      </c>
      <c r="T291" t="s">
        <v>384</v>
      </c>
      <c r="U291">
        <v>30.494444230532611</v>
      </c>
    </row>
    <row r="292" spans="1:21" x14ac:dyDescent="0.25">
      <c r="A292" t="s">
        <v>51</v>
      </c>
      <c r="B292">
        <v>57.130028917292947</v>
      </c>
      <c r="C292">
        <v>-6.1597851628063136</v>
      </c>
      <c r="D292" t="s">
        <v>383</v>
      </c>
      <c r="E292">
        <v>103</v>
      </c>
      <c r="F292" t="s">
        <v>383</v>
      </c>
      <c r="G292">
        <v>13</v>
      </c>
      <c r="H292">
        <v>55.91</v>
      </c>
      <c r="I292">
        <v>82.454599999999985</v>
      </c>
      <c r="J292">
        <v>76.783699999999996</v>
      </c>
      <c r="K292">
        <v>72.290000000000006</v>
      </c>
      <c r="L292" s="19">
        <v>45569</v>
      </c>
      <c r="M292" s="19">
        <v>45699</v>
      </c>
      <c r="N292" s="19">
        <v>45716</v>
      </c>
      <c r="O292">
        <v>59</v>
      </c>
      <c r="P292">
        <v>59.3</v>
      </c>
      <c r="Q292">
        <v>55.15</v>
      </c>
      <c r="R292">
        <v>139811</v>
      </c>
      <c r="S292">
        <v>88977.9</v>
      </c>
      <c r="T292" t="s">
        <v>384</v>
      </c>
      <c r="U292">
        <v>19.348659788278621</v>
      </c>
    </row>
    <row r="293" spans="1:21" x14ac:dyDescent="0.25">
      <c r="A293" t="s">
        <v>282</v>
      </c>
      <c r="B293">
        <v>-33.646259348777093</v>
      </c>
      <c r="C293">
        <v>-3.8994597134131941</v>
      </c>
      <c r="D293" t="s">
        <v>383</v>
      </c>
      <c r="E293">
        <v>103</v>
      </c>
      <c r="F293" t="s">
        <v>383</v>
      </c>
      <c r="G293">
        <v>39</v>
      </c>
      <c r="H293">
        <v>204.55</v>
      </c>
      <c r="I293">
        <v>309.34674999999999</v>
      </c>
      <c r="J293">
        <v>272.23500000000001</v>
      </c>
      <c r="K293">
        <v>251.67</v>
      </c>
      <c r="L293" s="19">
        <v>45569</v>
      </c>
      <c r="M293" s="19">
        <v>45664</v>
      </c>
      <c r="N293" s="19">
        <v>45716</v>
      </c>
      <c r="O293">
        <v>208.45</v>
      </c>
      <c r="P293">
        <v>210.3</v>
      </c>
      <c r="Q293">
        <v>203.2</v>
      </c>
      <c r="R293">
        <v>1202983</v>
      </c>
      <c r="S293">
        <v>1812984.45</v>
      </c>
      <c r="T293" t="s">
        <v>384</v>
      </c>
      <c r="U293">
        <v>30.500769183619848</v>
      </c>
    </row>
    <row r="294" spans="1:21" x14ac:dyDescent="0.25">
      <c r="A294" t="s">
        <v>355</v>
      </c>
      <c r="B294">
        <v>252.65798716758749</v>
      </c>
      <c r="C294">
        <v>-6.2940958039361368</v>
      </c>
      <c r="D294" t="s">
        <v>383</v>
      </c>
      <c r="E294">
        <v>104</v>
      </c>
      <c r="F294" t="s">
        <v>383</v>
      </c>
      <c r="G294">
        <v>13</v>
      </c>
      <c r="H294">
        <v>252.35</v>
      </c>
      <c r="I294">
        <v>358.28334999999998</v>
      </c>
      <c r="J294">
        <v>327.48099999999999</v>
      </c>
      <c r="K294">
        <v>315.13299999999998</v>
      </c>
      <c r="L294" s="19">
        <v>45568</v>
      </c>
      <c r="M294" s="19">
        <v>45699</v>
      </c>
      <c r="N294" s="19">
        <v>45716</v>
      </c>
      <c r="O294">
        <v>266</v>
      </c>
      <c r="P294">
        <v>270.7</v>
      </c>
      <c r="Q294">
        <v>250.75</v>
      </c>
      <c r="R294">
        <v>1644979</v>
      </c>
      <c r="S294">
        <v>466451.65</v>
      </c>
      <c r="T294" t="s">
        <v>386</v>
      </c>
      <c r="U294">
        <v>24.25065442085392</v>
      </c>
    </row>
    <row r="295" spans="1:21" x14ac:dyDescent="0.25">
      <c r="A295" t="s">
        <v>110</v>
      </c>
      <c r="B295">
        <v>-2.1521159020036138</v>
      </c>
      <c r="C295">
        <v>2.5611399961486749</v>
      </c>
      <c r="D295" t="s">
        <v>383</v>
      </c>
      <c r="E295">
        <v>104</v>
      </c>
      <c r="F295" t="s">
        <v>383</v>
      </c>
      <c r="G295">
        <v>15</v>
      </c>
      <c r="H295">
        <v>266.3</v>
      </c>
      <c r="I295">
        <v>434.62275</v>
      </c>
      <c r="J295">
        <v>391.54199999999997</v>
      </c>
      <c r="K295">
        <v>347.29</v>
      </c>
      <c r="L295" s="19">
        <v>45568</v>
      </c>
      <c r="M295" s="19">
        <v>45695</v>
      </c>
      <c r="N295" s="19">
        <v>45716</v>
      </c>
      <c r="O295">
        <v>259.64999999999998</v>
      </c>
      <c r="P295">
        <v>268.7</v>
      </c>
      <c r="Q295">
        <v>254.2</v>
      </c>
      <c r="R295">
        <v>200957</v>
      </c>
      <c r="S295">
        <v>205376.95</v>
      </c>
      <c r="T295" t="s">
        <v>384</v>
      </c>
      <c r="U295">
        <v>26.411436446609859</v>
      </c>
    </row>
    <row r="296" spans="1:21" x14ac:dyDescent="0.25">
      <c r="A296" t="s">
        <v>296</v>
      </c>
      <c r="B296">
        <v>69.90184084137907</v>
      </c>
      <c r="C296">
        <v>-4.1943376441803562</v>
      </c>
      <c r="D296" t="s">
        <v>383</v>
      </c>
      <c r="E296">
        <v>105</v>
      </c>
      <c r="F296" t="s">
        <v>383</v>
      </c>
      <c r="G296">
        <v>1</v>
      </c>
      <c r="H296">
        <v>274.10000000000002</v>
      </c>
      <c r="I296">
        <v>322.71224999999998</v>
      </c>
      <c r="J296">
        <v>302.41550000000001</v>
      </c>
      <c r="K296">
        <v>294.49299999999999</v>
      </c>
      <c r="L296" s="19">
        <v>45566</v>
      </c>
      <c r="M296" s="19">
        <v>45716</v>
      </c>
      <c r="N296" s="19">
        <v>45716</v>
      </c>
      <c r="O296">
        <v>289</v>
      </c>
      <c r="P296">
        <v>289.95</v>
      </c>
      <c r="Q296">
        <v>272.39999999999998</v>
      </c>
      <c r="R296">
        <v>32705</v>
      </c>
      <c r="S296">
        <v>19249.349999999999</v>
      </c>
      <c r="T296" t="s">
        <v>386</v>
      </c>
      <c r="U296">
        <v>40.947064611306928</v>
      </c>
    </row>
    <row r="297" spans="1:21" x14ac:dyDescent="0.25">
      <c r="A297" t="s">
        <v>99</v>
      </c>
      <c r="B297">
        <v>85.920257103935299</v>
      </c>
      <c r="C297">
        <v>-1.3667076167076311</v>
      </c>
      <c r="D297" t="s">
        <v>383</v>
      </c>
      <c r="E297">
        <v>105</v>
      </c>
      <c r="F297" t="s">
        <v>383</v>
      </c>
      <c r="G297">
        <v>13</v>
      </c>
      <c r="H297">
        <v>321.14999999999998</v>
      </c>
      <c r="I297">
        <v>404.90375</v>
      </c>
      <c r="J297">
        <v>379.91050000000001</v>
      </c>
      <c r="K297">
        <v>356.85</v>
      </c>
      <c r="L297" s="19">
        <v>45566</v>
      </c>
      <c r="M297" s="19">
        <v>45699</v>
      </c>
      <c r="N297" s="19">
        <v>45716</v>
      </c>
      <c r="O297">
        <v>328</v>
      </c>
      <c r="P297">
        <v>330</v>
      </c>
      <c r="Q297">
        <v>319.35000000000002</v>
      </c>
      <c r="R297">
        <v>5491296</v>
      </c>
      <c r="S297">
        <v>2953575.95</v>
      </c>
      <c r="T297" t="s">
        <v>386</v>
      </c>
      <c r="U297">
        <v>31.779037641437061</v>
      </c>
    </row>
    <row r="298" spans="1:21" x14ac:dyDescent="0.25">
      <c r="A298" t="s">
        <v>90</v>
      </c>
      <c r="B298">
        <v>71.386423786908395</v>
      </c>
      <c r="C298">
        <v>-3.4779260780287502</v>
      </c>
      <c r="D298" t="s">
        <v>383</v>
      </c>
      <c r="E298">
        <v>106</v>
      </c>
      <c r="F298" t="s">
        <v>383</v>
      </c>
      <c r="G298">
        <v>13</v>
      </c>
      <c r="H298">
        <v>376.05</v>
      </c>
      <c r="I298">
        <v>520.15174999999999</v>
      </c>
      <c r="J298">
        <v>474.32150000000001</v>
      </c>
      <c r="K298">
        <v>453.16500000000002</v>
      </c>
      <c r="L298" s="19">
        <v>45565</v>
      </c>
      <c r="M298" s="19">
        <v>45699</v>
      </c>
      <c r="N298" s="19">
        <v>45716</v>
      </c>
      <c r="O298">
        <v>392.45</v>
      </c>
      <c r="P298">
        <v>392.45</v>
      </c>
      <c r="Q298">
        <v>370</v>
      </c>
      <c r="R298">
        <v>256760</v>
      </c>
      <c r="S298">
        <v>149813.5</v>
      </c>
      <c r="T298" t="s">
        <v>386</v>
      </c>
      <c r="U298">
        <v>23.531449955772171</v>
      </c>
    </row>
    <row r="299" spans="1:21" x14ac:dyDescent="0.25">
      <c r="A299" t="s">
        <v>150</v>
      </c>
      <c r="B299">
        <v>2.9817847098284012</v>
      </c>
      <c r="C299">
        <v>-3.498609823911019</v>
      </c>
      <c r="D299" t="s">
        <v>383</v>
      </c>
      <c r="E299">
        <v>107</v>
      </c>
      <c r="F299" t="s">
        <v>383</v>
      </c>
      <c r="G299">
        <v>50</v>
      </c>
      <c r="H299">
        <v>124.95</v>
      </c>
      <c r="I299">
        <v>196.0556</v>
      </c>
      <c r="J299">
        <v>174.80799999999999</v>
      </c>
      <c r="K299">
        <v>156.7158</v>
      </c>
      <c r="L299" s="19">
        <v>45562</v>
      </c>
      <c r="M299" s="19">
        <v>45646</v>
      </c>
      <c r="N299" s="19">
        <v>45716</v>
      </c>
      <c r="O299">
        <v>128.85</v>
      </c>
      <c r="P299">
        <v>131.38999999999999</v>
      </c>
      <c r="Q299">
        <v>124</v>
      </c>
      <c r="R299">
        <v>1305397</v>
      </c>
      <c r="S299">
        <v>1267599.8999999999</v>
      </c>
      <c r="T299" t="s">
        <v>386</v>
      </c>
      <c r="U299">
        <v>24.6007312817562</v>
      </c>
    </row>
    <row r="300" spans="1:21" x14ac:dyDescent="0.25">
      <c r="A300" t="s">
        <v>117</v>
      </c>
      <c r="B300">
        <v>65.0534712248554</v>
      </c>
      <c r="C300">
        <v>-2.9039941370465212</v>
      </c>
      <c r="D300" t="s">
        <v>383</v>
      </c>
      <c r="E300">
        <v>108</v>
      </c>
      <c r="F300" t="s">
        <v>383</v>
      </c>
      <c r="G300">
        <v>14</v>
      </c>
      <c r="H300">
        <v>529.95000000000005</v>
      </c>
      <c r="I300">
        <v>677.90250000000003</v>
      </c>
      <c r="J300">
        <v>616.42750000000001</v>
      </c>
      <c r="K300">
        <v>570.548</v>
      </c>
      <c r="L300" s="19">
        <v>45561</v>
      </c>
      <c r="M300" s="19">
        <v>45698</v>
      </c>
      <c r="N300" s="19">
        <v>45716</v>
      </c>
      <c r="O300">
        <v>543</v>
      </c>
      <c r="P300">
        <v>545.75</v>
      </c>
      <c r="Q300">
        <v>507.7</v>
      </c>
      <c r="R300">
        <v>949437</v>
      </c>
      <c r="S300">
        <v>575229.94999999995</v>
      </c>
      <c r="T300" t="s">
        <v>386</v>
      </c>
      <c r="U300">
        <v>39.560682985548112</v>
      </c>
    </row>
    <row r="301" spans="1:21" x14ac:dyDescent="0.25">
      <c r="A301" t="s">
        <v>152</v>
      </c>
      <c r="B301">
        <v>4.1989857956460623</v>
      </c>
      <c r="C301">
        <v>-2.5009872318020272</v>
      </c>
      <c r="D301" t="s">
        <v>383</v>
      </c>
      <c r="E301">
        <v>108</v>
      </c>
      <c r="F301" t="s">
        <v>383</v>
      </c>
      <c r="G301">
        <v>25</v>
      </c>
      <c r="H301">
        <v>370.35</v>
      </c>
      <c r="I301">
        <v>553.60249999999996</v>
      </c>
      <c r="J301">
        <v>491.51249999999999</v>
      </c>
      <c r="K301">
        <v>465.161</v>
      </c>
      <c r="L301" s="19">
        <v>45561</v>
      </c>
      <c r="M301" s="19">
        <v>45684</v>
      </c>
      <c r="N301" s="19">
        <v>45716</v>
      </c>
      <c r="O301">
        <v>384</v>
      </c>
      <c r="P301">
        <v>384</v>
      </c>
      <c r="Q301">
        <v>367</v>
      </c>
      <c r="R301">
        <v>1043321</v>
      </c>
      <c r="S301">
        <v>1001277.5</v>
      </c>
      <c r="T301" t="s">
        <v>386</v>
      </c>
      <c r="U301">
        <v>23.290225224710142</v>
      </c>
    </row>
    <row r="302" spans="1:21" x14ac:dyDescent="0.25">
      <c r="A302" t="s">
        <v>255</v>
      </c>
      <c r="B302">
        <v>89.852256955332294</v>
      </c>
      <c r="C302">
        <v>-6.3405301995080601</v>
      </c>
      <c r="D302" t="s">
        <v>383</v>
      </c>
      <c r="E302">
        <v>108</v>
      </c>
      <c r="F302" t="s">
        <v>383</v>
      </c>
      <c r="G302">
        <v>27</v>
      </c>
      <c r="H302">
        <v>342.7</v>
      </c>
      <c r="I302">
        <v>507.41824999999989</v>
      </c>
      <c r="J302">
        <v>462.21550000000002</v>
      </c>
      <c r="K302">
        <v>427.10300000000001</v>
      </c>
      <c r="L302" s="19">
        <v>45561</v>
      </c>
      <c r="M302" s="19">
        <v>45680</v>
      </c>
      <c r="N302" s="19">
        <v>45716</v>
      </c>
      <c r="O302">
        <v>364.95</v>
      </c>
      <c r="P302">
        <v>367.45</v>
      </c>
      <c r="Q302">
        <v>340.95</v>
      </c>
      <c r="R302">
        <v>5947063</v>
      </c>
      <c r="S302">
        <v>3132468.95</v>
      </c>
      <c r="T302" t="s">
        <v>386</v>
      </c>
      <c r="U302">
        <v>27.081907745820541</v>
      </c>
    </row>
    <row r="303" spans="1:21" x14ac:dyDescent="0.25">
      <c r="A303" t="s">
        <v>82</v>
      </c>
      <c r="B303">
        <v>23.817916641862759</v>
      </c>
      <c r="C303">
        <v>1.267813267813277</v>
      </c>
      <c r="D303" t="s">
        <v>383</v>
      </c>
      <c r="E303">
        <v>108</v>
      </c>
      <c r="F303" t="s">
        <v>383</v>
      </c>
      <c r="G303">
        <v>47</v>
      </c>
      <c r="H303">
        <v>515.20000000000005</v>
      </c>
      <c r="I303">
        <v>780.17899999999997</v>
      </c>
      <c r="J303">
        <v>730.5</v>
      </c>
      <c r="K303">
        <v>679.41399999999999</v>
      </c>
      <c r="L303" s="19">
        <v>45561</v>
      </c>
      <c r="M303" s="19">
        <v>45652</v>
      </c>
      <c r="N303" s="19">
        <v>45716</v>
      </c>
      <c r="O303">
        <v>505</v>
      </c>
      <c r="P303">
        <v>525</v>
      </c>
      <c r="Q303">
        <v>482.3</v>
      </c>
      <c r="R303">
        <v>116477</v>
      </c>
      <c r="S303">
        <v>94071.2</v>
      </c>
      <c r="T303" t="s">
        <v>384</v>
      </c>
      <c r="U303">
        <v>31.161949471377799</v>
      </c>
    </row>
    <row r="304" spans="1:21" x14ac:dyDescent="0.25">
      <c r="A304" t="s">
        <v>339</v>
      </c>
      <c r="B304">
        <v>8.5462517918880128</v>
      </c>
      <c r="C304">
        <v>-4.930006086427281</v>
      </c>
      <c r="D304" t="s">
        <v>383</v>
      </c>
      <c r="E304">
        <v>109</v>
      </c>
      <c r="F304" t="s">
        <v>383</v>
      </c>
      <c r="G304">
        <v>54</v>
      </c>
      <c r="H304">
        <v>624.79999999999995</v>
      </c>
      <c r="I304">
        <v>833.17799999999988</v>
      </c>
      <c r="J304">
        <v>807.02900000000011</v>
      </c>
      <c r="K304">
        <v>746.43100000000004</v>
      </c>
      <c r="L304" s="19">
        <v>45560</v>
      </c>
      <c r="M304" s="19">
        <v>45642</v>
      </c>
      <c r="N304" s="19">
        <v>45716</v>
      </c>
      <c r="O304">
        <v>649.70000000000005</v>
      </c>
      <c r="P304">
        <v>649.70000000000005</v>
      </c>
      <c r="Q304">
        <v>619</v>
      </c>
      <c r="R304">
        <v>66937</v>
      </c>
      <c r="S304">
        <v>61666.8</v>
      </c>
      <c r="T304" t="s">
        <v>386</v>
      </c>
      <c r="U304">
        <v>28.578274546564369</v>
      </c>
    </row>
    <row r="305" spans="1:21" x14ac:dyDescent="0.25">
      <c r="A305" t="s">
        <v>41</v>
      </c>
      <c r="B305">
        <v>3.3023486647083309</v>
      </c>
      <c r="C305">
        <v>-4.1218483779364874</v>
      </c>
      <c r="D305" t="s">
        <v>383</v>
      </c>
      <c r="E305">
        <v>110</v>
      </c>
      <c r="F305" t="s">
        <v>383</v>
      </c>
      <c r="G305">
        <v>26</v>
      </c>
      <c r="H305">
        <v>111.42</v>
      </c>
      <c r="I305">
        <v>196.23134999999999</v>
      </c>
      <c r="J305">
        <v>170.233</v>
      </c>
      <c r="K305">
        <v>158.38980000000001</v>
      </c>
      <c r="L305" s="19">
        <v>45559</v>
      </c>
      <c r="M305" s="19">
        <v>45681</v>
      </c>
      <c r="N305" s="19">
        <v>45716</v>
      </c>
      <c r="O305">
        <v>115.02</v>
      </c>
      <c r="P305">
        <v>115.11</v>
      </c>
      <c r="Q305">
        <v>110</v>
      </c>
      <c r="R305">
        <v>215642</v>
      </c>
      <c r="S305">
        <v>208748.4</v>
      </c>
      <c r="T305" t="s">
        <v>384</v>
      </c>
      <c r="U305">
        <v>26.72961751876235</v>
      </c>
    </row>
    <row r="306" spans="1:21" x14ac:dyDescent="0.25">
      <c r="A306" t="s">
        <v>270</v>
      </c>
      <c r="B306">
        <v>-18.045061486823371</v>
      </c>
      <c r="C306">
        <v>-3.5663434809139729</v>
      </c>
      <c r="D306" t="s">
        <v>383</v>
      </c>
      <c r="E306">
        <v>111</v>
      </c>
      <c r="F306" t="s">
        <v>383</v>
      </c>
      <c r="G306">
        <v>1</v>
      </c>
      <c r="H306">
        <v>142.22999999999999</v>
      </c>
      <c r="I306">
        <v>174.3946</v>
      </c>
      <c r="J306">
        <v>161.61179999999999</v>
      </c>
      <c r="K306">
        <v>155.18719999999999</v>
      </c>
      <c r="L306" s="19">
        <v>45558</v>
      </c>
      <c r="M306" s="19">
        <v>45716</v>
      </c>
      <c r="N306" s="19">
        <v>45716</v>
      </c>
      <c r="O306">
        <v>146.44999999999999</v>
      </c>
      <c r="P306">
        <v>146.44999999999999</v>
      </c>
      <c r="Q306">
        <v>139.05000000000001</v>
      </c>
      <c r="R306">
        <v>482918</v>
      </c>
      <c r="S306">
        <v>589248.19999999995</v>
      </c>
      <c r="T306" t="s">
        <v>384</v>
      </c>
      <c r="U306">
        <v>39.335793969479191</v>
      </c>
    </row>
    <row r="307" spans="1:21" x14ac:dyDescent="0.25">
      <c r="A307" t="s">
        <v>295</v>
      </c>
      <c r="B307">
        <v>-17.59887482795471</v>
      </c>
      <c r="C307">
        <v>-0.65324764990175688</v>
      </c>
      <c r="D307" t="s">
        <v>383</v>
      </c>
      <c r="E307">
        <v>112</v>
      </c>
      <c r="F307" t="s">
        <v>385</v>
      </c>
      <c r="G307">
        <v>1</v>
      </c>
      <c r="H307">
        <v>935.3</v>
      </c>
      <c r="I307">
        <v>1255.1824999999999</v>
      </c>
      <c r="J307">
        <v>1148.9839999999999</v>
      </c>
      <c r="K307">
        <v>1026.752</v>
      </c>
      <c r="L307" s="19">
        <v>45555</v>
      </c>
      <c r="M307" s="19">
        <v>45716</v>
      </c>
      <c r="N307" s="19">
        <v>45716</v>
      </c>
      <c r="O307">
        <v>951</v>
      </c>
      <c r="P307">
        <v>951</v>
      </c>
      <c r="Q307">
        <v>920</v>
      </c>
      <c r="R307">
        <v>24636</v>
      </c>
      <c r="S307">
        <v>29897.65</v>
      </c>
      <c r="T307" t="s">
        <v>386</v>
      </c>
      <c r="U307">
        <v>44.738003023533011</v>
      </c>
    </row>
    <row r="308" spans="1:21" x14ac:dyDescent="0.25">
      <c r="A308" t="s">
        <v>54</v>
      </c>
      <c r="B308">
        <v>-0.69041137248643947</v>
      </c>
      <c r="C308">
        <v>-2.556070667836118</v>
      </c>
      <c r="D308" t="s">
        <v>383</v>
      </c>
      <c r="E308">
        <v>114</v>
      </c>
      <c r="F308" t="s">
        <v>383</v>
      </c>
      <c r="G308">
        <v>52</v>
      </c>
      <c r="H308">
        <v>155.54</v>
      </c>
      <c r="I308">
        <v>230.98005000000001</v>
      </c>
      <c r="J308">
        <v>201.4888</v>
      </c>
      <c r="K308">
        <v>185.02760000000001</v>
      </c>
      <c r="L308" s="19">
        <v>45553</v>
      </c>
      <c r="M308" s="19">
        <v>45644</v>
      </c>
      <c r="N308" s="19">
        <v>45716</v>
      </c>
      <c r="O308">
        <v>159</v>
      </c>
      <c r="P308">
        <v>159.46</v>
      </c>
      <c r="Q308">
        <v>154.69999999999999</v>
      </c>
      <c r="R308">
        <v>339458</v>
      </c>
      <c r="S308">
        <v>341817.95</v>
      </c>
      <c r="T308" t="s">
        <v>386</v>
      </c>
      <c r="U308">
        <v>21.840683315023231</v>
      </c>
    </row>
    <row r="309" spans="1:21" x14ac:dyDescent="0.25">
      <c r="A309" t="s">
        <v>133</v>
      </c>
      <c r="B309">
        <v>115.0282178348812</v>
      </c>
      <c r="C309">
        <v>1.0486537553141231</v>
      </c>
      <c r="D309" t="s">
        <v>383</v>
      </c>
      <c r="E309">
        <v>115</v>
      </c>
      <c r="F309" t="s">
        <v>383</v>
      </c>
      <c r="G309">
        <v>13</v>
      </c>
      <c r="H309">
        <v>106.96</v>
      </c>
      <c r="I309">
        <v>145.28424999999999</v>
      </c>
      <c r="J309">
        <v>133.72640000000001</v>
      </c>
      <c r="K309">
        <v>126.8672</v>
      </c>
      <c r="L309" s="19">
        <v>45552</v>
      </c>
      <c r="M309" s="19">
        <v>45699</v>
      </c>
      <c r="N309" s="19">
        <v>45716</v>
      </c>
      <c r="O309">
        <v>105.25</v>
      </c>
      <c r="P309">
        <v>109.99</v>
      </c>
      <c r="Q309">
        <v>103.25</v>
      </c>
      <c r="R309">
        <v>227542</v>
      </c>
      <c r="S309">
        <v>105819.6</v>
      </c>
      <c r="T309" t="s">
        <v>384</v>
      </c>
      <c r="U309">
        <v>29.42863446194141</v>
      </c>
    </row>
    <row r="310" spans="1:21" x14ac:dyDescent="0.25">
      <c r="A310" t="s">
        <v>86</v>
      </c>
      <c r="B310">
        <v>116.1031131641531</v>
      </c>
      <c r="C310">
        <v>-1.898528825563387</v>
      </c>
      <c r="D310" t="s">
        <v>383</v>
      </c>
      <c r="E310">
        <v>117</v>
      </c>
      <c r="F310" t="s">
        <v>383</v>
      </c>
      <c r="G310">
        <v>14</v>
      </c>
      <c r="H310">
        <v>5291.25</v>
      </c>
      <c r="I310">
        <v>7821.6007499999996</v>
      </c>
      <c r="J310">
        <v>7059.5280000000002</v>
      </c>
      <c r="K310">
        <v>6692.5080000000007</v>
      </c>
      <c r="L310" s="19">
        <v>45548</v>
      </c>
      <c r="M310" s="19">
        <v>45698</v>
      </c>
      <c r="N310" s="19">
        <v>45716</v>
      </c>
      <c r="O310">
        <v>5380.5</v>
      </c>
      <c r="P310">
        <v>5412</v>
      </c>
      <c r="Q310">
        <v>5196.1499999999996</v>
      </c>
      <c r="R310">
        <v>55203</v>
      </c>
      <c r="S310">
        <v>25544.75</v>
      </c>
      <c r="T310" t="s">
        <v>386</v>
      </c>
      <c r="U310">
        <v>18.710144881803501</v>
      </c>
    </row>
    <row r="311" spans="1:21" x14ac:dyDescent="0.25">
      <c r="A311" t="s">
        <v>93</v>
      </c>
      <c r="B311">
        <v>278.13691146173329</v>
      </c>
      <c r="C311">
        <v>1.5116119279923039</v>
      </c>
      <c r="D311" t="s">
        <v>383</v>
      </c>
      <c r="E311">
        <v>117</v>
      </c>
      <c r="F311" t="s">
        <v>383</v>
      </c>
      <c r="G311">
        <v>18</v>
      </c>
      <c r="H311">
        <v>369.35</v>
      </c>
      <c r="I311">
        <v>452.16050000000001</v>
      </c>
      <c r="J311">
        <v>406.48549999999989</v>
      </c>
      <c r="K311">
        <v>375.81400000000002</v>
      </c>
      <c r="L311" s="19">
        <v>45548</v>
      </c>
      <c r="M311" s="19">
        <v>45692</v>
      </c>
      <c r="N311" s="19">
        <v>45716</v>
      </c>
      <c r="O311">
        <v>366.8</v>
      </c>
      <c r="P311">
        <v>375.75</v>
      </c>
      <c r="Q311">
        <v>365.3</v>
      </c>
      <c r="R311">
        <v>21899478</v>
      </c>
      <c r="S311">
        <v>5791415.0499999998</v>
      </c>
      <c r="T311" t="s">
        <v>386</v>
      </c>
      <c r="U311">
        <v>48.969052278299117</v>
      </c>
    </row>
    <row r="312" spans="1:21" x14ac:dyDescent="0.25">
      <c r="A312" t="s">
        <v>129</v>
      </c>
      <c r="B312">
        <v>23.46936476849908</v>
      </c>
      <c r="C312">
        <v>-4.199019207192471</v>
      </c>
      <c r="D312" t="s">
        <v>383</v>
      </c>
      <c r="E312">
        <v>118</v>
      </c>
      <c r="F312" t="s">
        <v>383</v>
      </c>
      <c r="G312">
        <v>10</v>
      </c>
      <c r="H312">
        <v>468.85</v>
      </c>
      <c r="I312">
        <v>630.19600000000003</v>
      </c>
      <c r="J312">
        <v>585.13800000000003</v>
      </c>
      <c r="K312">
        <v>554.02099999999996</v>
      </c>
      <c r="L312" s="19">
        <v>45547</v>
      </c>
      <c r="M312" s="19">
        <v>45702</v>
      </c>
      <c r="N312" s="19">
        <v>45716</v>
      </c>
      <c r="O312">
        <v>481.6</v>
      </c>
      <c r="P312">
        <v>484.9</v>
      </c>
      <c r="Q312">
        <v>465.25</v>
      </c>
      <c r="R312">
        <v>893400</v>
      </c>
      <c r="S312">
        <v>723580.3</v>
      </c>
      <c r="T312" t="s">
        <v>384</v>
      </c>
      <c r="U312">
        <v>23.87677464701849</v>
      </c>
    </row>
    <row r="313" spans="1:21" x14ac:dyDescent="0.25">
      <c r="A313" t="s">
        <v>104</v>
      </c>
      <c r="B313">
        <v>29.195176991857181</v>
      </c>
      <c r="C313">
        <v>0.57633753806002741</v>
      </c>
      <c r="D313" t="s">
        <v>383</v>
      </c>
      <c r="E313">
        <v>118</v>
      </c>
      <c r="F313" t="s">
        <v>383</v>
      </c>
      <c r="G313">
        <v>34</v>
      </c>
      <c r="H313">
        <v>92.49</v>
      </c>
      <c r="I313">
        <v>120.53215</v>
      </c>
      <c r="J313">
        <v>111.3428</v>
      </c>
      <c r="K313">
        <v>104.0838</v>
      </c>
      <c r="L313" s="19">
        <v>45547</v>
      </c>
      <c r="M313" s="19">
        <v>45671</v>
      </c>
      <c r="N313" s="19">
        <v>45716</v>
      </c>
      <c r="O313">
        <v>91</v>
      </c>
      <c r="P313">
        <v>94.9</v>
      </c>
      <c r="Q313">
        <v>89.61</v>
      </c>
      <c r="R313">
        <v>1925104</v>
      </c>
      <c r="S313">
        <v>1490074.2</v>
      </c>
      <c r="T313" t="s">
        <v>384</v>
      </c>
      <c r="U313">
        <v>38.86159022319918</v>
      </c>
    </row>
    <row r="314" spans="1:21" x14ac:dyDescent="0.25">
      <c r="A314" t="s">
        <v>272</v>
      </c>
      <c r="B314">
        <v>27.26263187118267</v>
      </c>
      <c r="C314">
        <v>3.6138717075543809</v>
      </c>
      <c r="D314" t="s">
        <v>383</v>
      </c>
      <c r="E314">
        <v>118</v>
      </c>
      <c r="F314" t="s">
        <v>383</v>
      </c>
      <c r="G314">
        <v>47</v>
      </c>
      <c r="H314">
        <v>745.45</v>
      </c>
      <c r="I314">
        <v>1116.46675</v>
      </c>
      <c r="J314">
        <v>986.95849999999996</v>
      </c>
      <c r="K314">
        <v>897.43100000000004</v>
      </c>
      <c r="L314" s="19">
        <v>45547</v>
      </c>
      <c r="M314" s="19">
        <v>45652</v>
      </c>
      <c r="N314" s="19">
        <v>45716</v>
      </c>
      <c r="O314">
        <v>706.4</v>
      </c>
      <c r="P314">
        <v>753.95</v>
      </c>
      <c r="Q314">
        <v>702.05</v>
      </c>
      <c r="R314">
        <v>16044</v>
      </c>
      <c r="S314">
        <v>12607</v>
      </c>
      <c r="T314" t="s">
        <v>386</v>
      </c>
      <c r="U314">
        <v>39.858643129223587</v>
      </c>
    </row>
    <row r="315" spans="1:21" x14ac:dyDescent="0.25">
      <c r="A315" t="s">
        <v>36</v>
      </c>
      <c r="B315">
        <v>-19.66300575926428</v>
      </c>
      <c r="C315">
        <v>-1.8838619169297131</v>
      </c>
      <c r="D315" t="s">
        <v>383</v>
      </c>
      <c r="E315">
        <v>121</v>
      </c>
      <c r="F315" t="s">
        <v>383</v>
      </c>
      <c r="G315">
        <v>1</v>
      </c>
      <c r="H315">
        <v>979.15</v>
      </c>
      <c r="I315">
        <v>1322.0905</v>
      </c>
      <c r="J315">
        <v>1190.8415</v>
      </c>
      <c r="K315">
        <v>1075.8330000000001</v>
      </c>
      <c r="L315" s="19">
        <v>45544</v>
      </c>
      <c r="M315" s="19">
        <v>45716</v>
      </c>
      <c r="N315" s="19">
        <v>45716</v>
      </c>
      <c r="O315">
        <v>992.65</v>
      </c>
      <c r="P315">
        <v>1001.55</v>
      </c>
      <c r="Q315">
        <v>972.8</v>
      </c>
      <c r="R315">
        <v>783044</v>
      </c>
      <c r="S315">
        <v>974699.15</v>
      </c>
      <c r="T315" t="s">
        <v>386</v>
      </c>
      <c r="U315">
        <v>41.866255904844067</v>
      </c>
    </row>
    <row r="316" spans="1:21" x14ac:dyDescent="0.25">
      <c r="A316" t="s">
        <v>21</v>
      </c>
      <c r="B316">
        <v>-12.18143134097221</v>
      </c>
      <c r="C316">
        <v>-0.88511979239074612</v>
      </c>
      <c r="D316" t="s">
        <v>383</v>
      </c>
      <c r="E316">
        <v>121</v>
      </c>
      <c r="F316" t="s">
        <v>383</v>
      </c>
      <c r="G316">
        <v>10</v>
      </c>
      <c r="H316">
        <v>1069.4000000000001</v>
      </c>
      <c r="I316">
        <v>1337.72225</v>
      </c>
      <c r="J316">
        <v>1215.8705</v>
      </c>
      <c r="K316">
        <v>1131.162</v>
      </c>
      <c r="L316" s="19">
        <v>45544</v>
      </c>
      <c r="M316" s="19">
        <v>45702</v>
      </c>
      <c r="N316" s="19">
        <v>45716</v>
      </c>
      <c r="O316">
        <v>1074</v>
      </c>
      <c r="P316">
        <v>1082.9000000000001</v>
      </c>
      <c r="Q316">
        <v>1059.2</v>
      </c>
      <c r="R316">
        <v>2849138</v>
      </c>
      <c r="S316">
        <v>3244345.75</v>
      </c>
      <c r="T316" t="s">
        <v>386</v>
      </c>
      <c r="U316">
        <v>41.097983394922728</v>
      </c>
    </row>
    <row r="317" spans="1:21" x14ac:dyDescent="0.25">
      <c r="A317" t="s">
        <v>279</v>
      </c>
      <c r="B317">
        <v>122.6541967157107</v>
      </c>
      <c r="C317">
        <v>-0.57990224505012011</v>
      </c>
      <c r="D317" t="s">
        <v>383</v>
      </c>
      <c r="E317">
        <v>122</v>
      </c>
      <c r="F317" t="s">
        <v>383</v>
      </c>
      <c r="G317">
        <v>13</v>
      </c>
      <c r="H317">
        <v>1200.0999999999999</v>
      </c>
      <c r="I317">
        <v>1380.8507999999999</v>
      </c>
      <c r="J317">
        <v>1273.5425</v>
      </c>
      <c r="K317">
        <v>1241.154</v>
      </c>
      <c r="L317" s="19">
        <v>45541</v>
      </c>
      <c r="M317" s="19">
        <v>45699</v>
      </c>
      <c r="N317" s="19">
        <v>45716</v>
      </c>
      <c r="O317">
        <v>1202</v>
      </c>
      <c r="P317">
        <v>1217.3499999999999</v>
      </c>
      <c r="Q317">
        <v>1193.3</v>
      </c>
      <c r="R317">
        <v>23007298</v>
      </c>
      <c r="S317">
        <v>10333197.550000001</v>
      </c>
      <c r="T317" t="s">
        <v>386</v>
      </c>
      <c r="U317">
        <v>36.226192144058203</v>
      </c>
    </row>
    <row r="318" spans="1:21" x14ac:dyDescent="0.25">
      <c r="A318" t="s">
        <v>361</v>
      </c>
      <c r="B318">
        <v>20.26927643306902</v>
      </c>
      <c r="C318">
        <v>-1.111173783067293</v>
      </c>
      <c r="D318" t="s">
        <v>383</v>
      </c>
      <c r="E318">
        <v>123</v>
      </c>
      <c r="F318" t="s">
        <v>383</v>
      </c>
      <c r="G318">
        <v>13</v>
      </c>
      <c r="H318">
        <v>876.6</v>
      </c>
      <c r="I318">
        <v>1046.8344999999999</v>
      </c>
      <c r="J318">
        <v>972.57350000000008</v>
      </c>
      <c r="K318">
        <v>956.7360000000001</v>
      </c>
      <c r="L318" s="19">
        <v>45540</v>
      </c>
      <c r="M318" s="19">
        <v>45699</v>
      </c>
      <c r="N318" s="19">
        <v>45716</v>
      </c>
      <c r="O318">
        <v>879.45</v>
      </c>
      <c r="P318">
        <v>887</v>
      </c>
      <c r="Q318">
        <v>867.1</v>
      </c>
      <c r="R318">
        <v>1708929</v>
      </c>
      <c r="S318">
        <v>1420919</v>
      </c>
      <c r="T318" t="s">
        <v>386</v>
      </c>
      <c r="U318">
        <v>35.993362645377147</v>
      </c>
    </row>
    <row r="319" spans="1:21" x14ac:dyDescent="0.25">
      <c r="A319" t="s">
        <v>286</v>
      </c>
      <c r="B319">
        <v>-11.52668376049937</v>
      </c>
      <c r="C319">
        <v>-3.8159889277005159</v>
      </c>
      <c r="D319" t="s">
        <v>383</v>
      </c>
      <c r="E319">
        <v>123</v>
      </c>
      <c r="F319" t="s">
        <v>383</v>
      </c>
      <c r="G319">
        <v>18</v>
      </c>
      <c r="H319">
        <v>145.94</v>
      </c>
      <c r="I319">
        <v>236.19085000000001</v>
      </c>
      <c r="J319">
        <v>207.4649</v>
      </c>
      <c r="K319">
        <v>189.09059999999999</v>
      </c>
      <c r="L319" s="19">
        <v>45540</v>
      </c>
      <c r="M319" s="19">
        <v>45692</v>
      </c>
      <c r="N319" s="19">
        <v>45716</v>
      </c>
      <c r="O319">
        <v>148.85</v>
      </c>
      <c r="P319">
        <v>151.5</v>
      </c>
      <c r="Q319">
        <v>144</v>
      </c>
      <c r="R319">
        <v>1796294</v>
      </c>
      <c r="S319">
        <v>2030322.9</v>
      </c>
      <c r="T319" t="s">
        <v>386</v>
      </c>
      <c r="U319">
        <v>27.5106443395421</v>
      </c>
    </row>
    <row r="320" spans="1:21" x14ac:dyDescent="0.25">
      <c r="A320" t="s">
        <v>68</v>
      </c>
      <c r="B320">
        <v>101.435537797501</v>
      </c>
      <c r="C320">
        <v>-2.1090138674884531</v>
      </c>
      <c r="D320" t="s">
        <v>383</v>
      </c>
      <c r="E320">
        <v>126</v>
      </c>
      <c r="F320" t="s">
        <v>383</v>
      </c>
      <c r="G320">
        <v>53</v>
      </c>
      <c r="H320">
        <v>1016.5</v>
      </c>
      <c r="I320">
        <v>1443.2465</v>
      </c>
      <c r="J320">
        <v>1286.6115</v>
      </c>
      <c r="K320">
        <v>1185.319</v>
      </c>
      <c r="L320" s="19">
        <v>45537</v>
      </c>
      <c r="M320" s="19">
        <v>45643</v>
      </c>
      <c r="N320" s="19">
        <v>45716</v>
      </c>
      <c r="O320">
        <v>1035.05</v>
      </c>
      <c r="P320">
        <v>1035.05</v>
      </c>
      <c r="Q320">
        <v>1002.15</v>
      </c>
      <c r="R320">
        <v>2472393</v>
      </c>
      <c r="S320">
        <v>1227386.7</v>
      </c>
      <c r="T320" t="s">
        <v>386</v>
      </c>
      <c r="U320">
        <v>23.042122653239499</v>
      </c>
    </row>
    <row r="321" spans="1:21" x14ac:dyDescent="0.25">
      <c r="A321" t="s">
        <v>127</v>
      </c>
      <c r="B321">
        <v>-41.916814405318021</v>
      </c>
      <c r="C321">
        <v>-2.7096236303001429</v>
      </c>
      <c r="D321" t="s">
        <v>383</v>
      </c>
      <c r="E321">
        <v>129</v>
      </c>
      <c r="F321" t="s">
        <v>383</v>
      </c>
      <c r="G321">
        <v>52</v>
      </c>
      <c r="H321">
        <v>816.85</v>
      </c>
      <c r="I321">
        <v>1297.2795000000001</v>
      </c>
      <c r="J321">
        <v>1123.4014999999999</v>
      </c>
      <c r="K321">
        <v>1021.0890000000001</v>
      </c>
      <c r="L321" s="19">
        <v>45532</v>
      </c>
      <c r="M321" s="19">
        <v>45644</v>
      </c>
      <c r="N321" s="19">
        <v>45716</v>
      </c>
      <c r="O321">
        <v>830</v>
      </c>
      <c r="P321">
        <v>843.2</v>
      </c>
      <c r="Q321">
        <v>810.1</v>
      </c>
      <c r="R321">
        <v>458591</v>
      </c>
      <c r="S321">
        <v>789541.75</v>
      </c>
      <c r="T321" t="s">
        <v>386</v>
      </c>
      <c r="U321">
        <v>29.52534709238255</v>
      </c>
    </row>
    <row r="322" spans="1:21" x14ac:dyDescent="0.25">
      <c r="A322" t="s">
        <v>94</v>
      </c>
      <c r="B322">
        <v>-17.40381628791663</v>
      </c>
      <c r="C322">
        <v>-2.0424710424710462</v>
      </c>
      <c r="D322" t="s">
        <v>383</v>
      </c>
      <c r="E322">
        <v>131</v>
      </c>
      <c r="F322" t="s">
        <v>383</v>
      </c>
      <c r="G322">
        <v>19</v>
      </c>
      <c r="H322">
        <v>1268.55</v>
      </c>
      <c r="I322">
        <v>1787.0360000000001</v>
      </c>
      <c r="J322">
        <v>1471.239</v>
      </c>
      <c r="K322">
        <v>1421.886</v>
      </c>
      <c r="L322" s="19">
        <v>45530</v>
      </c>
      <c r="M322" s="19">
        <v>45691</v>
      </c>
      <c r="N322" s="19">
        <v>45716</v>
      </c>
      <c r="O322">
        <v>1286.95</v>
      </c>
      <c r="P322">
        <v>1294.95</v>
      </c>
      <c r="Q322">
        <v>1250.0999999999999</v>
      </c>
      <c r="R322">
        <v>702560</v>
      </c>
      <c r="S322">
        <v>850596.2</v>
      </c>
      <c r="T322" t="s">
        <v>386</v>
      </c>
      <c r="U322">
        <v>38.410228657690773</v>
      </c>
    </row>
    <row r="323" spans="1:21" x14ac:dyDescent="0.25">
      <c r="A323" t="s">
        <v>209</v>
      </c>
      <c r="B323">
        <v>1564.197456123992</v>
      </c>
      <c r="C323">
        <v>1.3885465450661481</v>
      </c>
      <c r="D323" t="s">
        <v>383</v>
      </c>
      <c r="E323">
        <v>138</v>
      </c>
      <c r="F323" t="s">
        <v>383</v>
      </c>
      <c r="G323">
        <v>15</v>
      </c>
      <c r="H323">
        <v>617</v>
      </c>
      <c r="I323">
        <v>846.63485000000003</v>
      </c>
      <c r="J323">
        <v>763.32350000000008</v>
      </c>
      <c r="K323">
        <v>694.41199999999992</v>
      </c>
      <c r="L323" s="19">
        <v>45518</v>
      </c>
      <c r="M323" s="19">
        <v>45695</v>
      </c>
      <c r="N323" s="19">
        <v>45716</v>
      </c>
      <c r="O323">
        <v>639.75</v>
      </c>
      <c r="P323">
        <v>659</v>
      </c>
      <c r="Q323">
        <v>606</v>
      </c>
      <c r="R323">
        <v>9731254</v>
      </c>
      <c r="S323">
        <v>584741.55000000005</v>
      </c>
      <c r="T323" t="s">
        <v>386</v>
      </c>
      <c r="U323">
        <v>39.46526586842829</v>
      </c>
    </row>
    <row r="324" spans="1:21" x14ac:dyDescent="0.25">
      <c r="A324" t="s">
        <v>326</v>
      </c>
      <c r="B324">
        <v>51.960851601213427</v>
      </c>
      <c r="C324">
        <v>6.2446200798184481</v>
      </c>
      <c r="D324" t="s">
        <v>383</v>
      </c>
      <c r="E324">
        <v>138</v>
      </c>
      <c r="F324" t="s">
        <v>383</v>
      </c>
      <c r="G324">
        <v>15</v>
      </c>
      <c r="H324">
        <v>678.85</v>
      </c>
      <c r="I324">
        <v>987.45675000000006</v>
      </c>
      <c r="J324">
        <v>845.40899999999999</v>
      </c>
      <c r="K324">
        <v>771.09300000000007</v>
      </c>
      <c r="L324" s="19">
        <v>45518</v>
      </c>
      <c r="M324" s="19">
        <v>45695</v>
      </c>
      <c r="N324" s="19">
        <v>45716</v>
      </c>
      <c r="O324">
        <v>638</v>
      </c>
      <c r="P324">
        <v>690</v>
      </c>
      <c r="Q324">
        <v>631.1</v>
      </c>
      <c r="R324">
        <v>44282</v>
      </c>
      <c r="S324">
        <v>29140.400000000001</v>
      </c>
      <c r="T324" t="s">
        <v>384</v>
      </c>
      <c r="U324">
        <v>39.73534657940202</v>
      </c>
    </row>
    <row r="325" spans="1:21" x14ac:dyDescent="0.25">
      <c r="A325" t="s">
        <v>22</v>
      </c>
      <c r="B325">
        <v>21.10920546616169</v>
      </c>
      <c r="C325">
        <v>-3.6802413273001529</v>
      </c>
      <c r="D325" t="s">
        <v>383</v>
      </c>
      <c r="E325">
        <v>138</v>
      </c>
      <c r="F325" t="s">
        <v>383</v>
      </c>
      <c r="G325">
        <v>25</v>
      </c>
      <c r="H325">
        <v>478.95</v>
      </c>
      <c r="I325">
        <v>614.30849999999998</v>
      </c>
      <c r="J325">
        <v>535.0535000000001</v>
      </c>
      <c r="K325">
        <v>506.714</v>
      </c>
      <c r="L325" s="19">
        <v>45518</v>
      </c>
      <c r="M325" s="19">
        <v>45684</v>
      </c>
      <c r="N325" s="19">
        <v>45716</v>
      </c>
      <c r="O325">
        <v>495</v>
      </c>
      <c r="P325">
        <v>501.55</v>
      </c>
      <c r="Q325">
        <v>473</v>
      </c>
      <c r="R325">
        <v>6604732</v>
      </c>
      <c r="S325">
        <v>5453534.25</v>
      </c>
      <c r="T325" t="s">
        <v>386</v>
      </c>
      <c r="U325">
        <v>42.187694123820648</v>
      </c>
    </row>
    <row r="326" spans="1:21" x14ac:dyDescent="0.25">
      <c r="A326" t="s">
        <v>248</v>
      </c>
      <c r="B326">
        <v>42.536058526026068</v>
      </c>
      <c r="C326">
        <v>-1.8974566007266811</v>
      </c>
      <c r="D326" t="s">
        <v>383</v>
      </c>
      <c r="E326">
        <v>140</v>
      </c>
      <c r="F326" t="s">
        <v>383</v>
      </c>
      <c r="G326">
        <v>2</v>
      </c>
      <c r="H326">
        <v>72.900000000000006</v>
      </c>
      <c r="I326">
        <v>90.187450000000013</v>
      </c>
      <c r="J326">
        <v>80.458500000000001</v>
      </c>
      <c r="K326">
        <v>77.744399999999999</v>
      </c>
      <c r="L326" s="19">
        <v>45516</v>
      </c>
      <c r="M326" s="19">
        <v>45715</v>
      </c>
      <c r="N326" s="19">
        <v>45716</v>
      </c>
      <c r="O326">
        <v>73.5</v>
      </c>
      <c r="P326">
        <v>73.86</v>
      </c>
      <c r="Q326">
        <v>71</v>
      </c>
      <c r="R326">
        <v>28437195</v>
      </c>
      <c r="S326">
        <v>19950877.899999999</v>
      </c>
      <c r="T326" t="s">
        <v>386</v>
      </c>
      <c r="U326">
        <v>41.187360158515368</v>
      </c>
    </row>
    <row r="327" spans="1:21" x14ac:dyDescent="0.25">
      <c r="A327" t="s">
        <v>37</v>
      </c>
      <c r="B327">
        <v>32.217678709544558</v>
      </c>
      <c r="C327">
        <v>-1.0323541932737379</v>
      </c>
      <c r="D327" t="s">
        <v>383</v>
      </c>
      <c r="E327">
        <v>140</v>
      </c>
      <c r="F327" t="s">
        <v>383</v>
      </c>
      <c r="G327">
        <v>23</v>
      </c>
      <c r="H327">
        <v>464.95</v>
      </c>
      <c r="I327">
        <v>591.08225000000004</v>
      </c>
      <c r="J327">
        <v>539.18799999999999</v>
      </c>
      <c r="K327">
        <v>517.62199999999996</v>
      </c>
      <c r="L327" s="19">
        <v>45516</v>
      </c>
      <c r="M327" s="19">
        <v>45686</v>
      </c>
      <c r="N327" s="19">
        <v>45716</v>
      </c>
      <c r="O327">
        <v>467.9</v>
      </c>
      <c r="P327">
        <v>468.65</v>
      </c>
      <c r="Q327">
        <v>458</v>
      </c>
      <c r="R327">
        <v>3502159</v>
      </c>
      <c r="S327">
        <v>2648782.7000000002</v>
      </c>
      <c r="T327" t="s">
        <v>386</v>
      </c>
      <c r="U327">
        <v>28.881262056710611</v>
      </c>
    </row>
    <row r="328" spans="1:21" x14ac:dyDescent="0.25">
      <c r="A328" t="s">
        <v>136</v>
      </c>
      <c r="B328">
        <v>177.86085235882919</v>
      </c>
      <c r="C328">
        <v>-3.7608486017357698</v>
      </c>
      <c r="D328" t="s">
        <v>383</v>
      </c>
      <c r="E328">
        <v>140</v>
      </c>
      <c r="F328" t="s">
        <v>383</v>
      </c>
      <c r="G328">
        <v>51</v>
      </c>
      <c r="H328">
        <v>59.88</v>
      </c>
      <c r="I328">
        <v>91.131699999999995</v>
      </c>
      <c r="J328">
        <v>80.553700000000006</v>
      </c>
      <c r="K328">
        <v>75.729399999999998</v>
      </c>
      <c r="L328" s="19">
        <v>45516</v>
      </c>
      <c r="M328" s="19">
        <v>45645</v>
      </c>
      <c r="N328" s="19">
        <v>45716</v>
      </c>
      <c r="O328">
        <v>62.22</v>
      </c>
      <c r="P328">
        <v>62.49</v>
      </c>
      <c r="Q328">
        <v>58.9</v>
      </c>
      <c r="R328">
        <v>2854529</v>
      </c>
      <c r="S328">
        <v>1027323.2</v>
      </c>
      <c r="T328" t="s">
        <v>384</v>
      </c>
      <c r="U328">
        <v>15.502507574551981</v>
      </c>
    </row>
    <row r="329" spans="1:21" x14ac:dyDescent="0.25">
      <c r="A329" t="s">
        <v>80</v>
      </c>
      <c r="B329">
        <v>20.59530474534747</v>
      </c>
      <c r="C329">
        <v>-1.649716177861879</v>
      </c>
      <c r="D329" t="s">
        <v>383</v>
      </c>
      <c r="E329">
        <v>140</v>
      </c>
      <c r="F329" t="s">
        <v>383</v>
      </c>
      <c r="G329">
        <v>62</v>
      </c>
      <c r="H329">
        <v>831.65</v>
      </c>
      <c r="I329">
        <v>1444.87825</v>
      </c>
      <c r="J329">
        <v>1276.7294999999999</v>
      </c>
      <c r="K329">
        <v>1142.1780000000001</v>
      </c>
      <c r="L329" s="19">
        <v>45516</v>
      </c>
      <c r="M329" s="19">
        <v>45630</v>
      </c>
      <c r="N329" s="19">
        <v>45716</v>
      </c>
      <c r="O329">
        <v>835</v>
      </c>
      <c r="P329">
        <v>846.95</v>
      </c>
      <c r="Q329">
        <v>811.65</v>
      </c>
      <c r="R329">
        <v>286485</v>
      </c>
      <c r="S329">
        <v>237559</v>
      </c>
      <c r="T329" t="s">
        <v>386</v>
      </c>
      <c r="U329">
        <v>14.456770391429259</v>
      </c>
    </row>
    <row r="330" spans="1:21" x14ac:dyDescent="0.25">
      <c r="A330" t="s">
        <v>215</v>
      </c>
      <c r="B330">
        <v>57.401713001369629</v>
      </c>
      <c r="C330">
        <v>-3.2232934073425001</v>
      </c>
      <c r="D330" t="s">
        <v>383</v>
      </c>
      <c r="E330">
        <v>142</v>
      </c>
      <c r="F330" t="s">
        <v>383</v>
      </c>
      <c r="G330">
        <v>14</v>
      </c>
      <c r="H330">
        <v>496.9</v>
      </c>
      <c r="I330">
        <v>647.85775000000001</v>
      </c>
      <c r="J330">
        <v>593.63250000000005</v>
      </c>
      <c r="K330">
        <v>565.56799999999998</v>
      </c>
      <c r="L330" s="19">
        <v>45512</v>
      </c>
      <c r="M330" s="19">
        <v>45698</v>
      </c>
      <c r="N330" s="19">
        <v>45716</v>
      </c>
      <c r="O330">
        <v>508.75</v>
      </c>
      <c r="P330">
        <v>510</v>
      </c>
      <c r="Q330">
        <v>492.85</v>
      </c>
      <c r="R330">
        <v>2317148</v>
      </c>
      <c r="S330">
        <v>1472123.75</v>
      </c>
      <c r="T330" t="s">
        <v>386</v>
      </c>
      <c r="U330">
        <v>29.50639858726009</v>
      </c>
    </row>
    <row r="331" spans="1:21" x14ac:dyDescent="0.25">
      <c r="A331" t="s">
        <v>233</v>
      </c>
      <c r="B331">
        <v>2.8199866263921232</v>
      </c>
      <c r="C331">
        <v>-3.514757219930186</v>
      </c>
      <c r="D331" t="s">
        <v>383</v>
      </c>
      <c r="E331">
        <v>143</v>
      </c>
      <c r="F331" t="s">
        <v>383</v>
      </c>
      <c r="G331">
        <v>40</v>
      </c>
      <c r="H331">
        <v>121.61</v>
      </c>
      <c r="I331">
        <v>218.80144999999999</v>
      </c>
      <c r="J331">
        <v>193.9675</v>
      </c>
      <c r="K331">
        <v>173.19800000000001</v>
      </c>
      <c r="L331" s="19">
        <v>45511</v>
      </c>
      <c r="M331" s="19">
        <v>45663</v>
      </c>
      <c r="N331" s="19">
        <v>45716</v>
      </c>
      <c r="O331">
        <v>126.04</v>
      </c>
      <c r="P331">
        <v>126.39</v>
      </c>
      <c r="Q331">
        <v>119.53</v>
      </c>
      <c r="R331">
        <v>100332</v>
      </c>
      <c r="S331">
        <v>97580.25</v>
      </c>
      <c r="T331" t="s">
        <v>384</v>
      </c>
      <c r="U331">
        <v>23.211104047361701</v>
      </c>
    </row>
    <row r="332" spans="1:21" x14ac:dyDescent="0.25">
      <c r="A332" t="s">
        <v>48</v>
      </c>
      <c r="B332">
        <v>36.256250799717463</v>
      </c>
      <c r="C332">
        <v>-3.6632807434622801</v>
      </c>
      <c r="D332" t="s">
        <v>383</v>
      </c>
      <c r="E332">
        <v>146</v>
      </c>
      <c r="F332" t="s">
        <v>383</v>
      </c>
      <c r="G332">
        <v>15</v>
      </c>
      <c r="H332">
        <v>1337.25</v>
      </c>
      <c r="I332">
        <v>1881.3219999999999</v>
      </c>
      <c r="J332">
        <v>1654.4875</v>
      </c>
      <c r="K332">
        <v>1501.3019999999999</v>
      </c>
      <c r="L332" s="19">
        <v>45506</v>
      </c>
      <c r="M332" s="19">
        <v>45695</v>
      </c>
      <c r="N332" s="19">
        <v>45716</v>
      </c>
      <c r="O332">
        <v>1385</v>
      </c>
      <c r="P332">
        <v>1386.95</v>
      </c>
      <c r="Q332">
        <v>1323.65</v>
      </c>
      <c r="R332">
        <v>720390</v>
      </c>
      <c r="S332">
        <v>528702.35</v>
      </c>
      <c r="T332" t="s">
        <v>386</v>
      </c>
      <c r="U332">
        <v>32.655744790160988</v>
      </c>
    </row>
    <row r="333" spans="1:21" x14ac:dyDescent="0.25">
      <c r="A333" t="s">
        <v>297</v>
      </c>
      <c r="B333">
        <v>40.490044692836072</v>
      </c>
      <c r="C333">
        <v>0.18791558253829929</v>
      </c>
      <c r="D333" t="s">
        <v>383</v>
      </c>
      <c r="E333">
        <v>149</v>
      </c>
      <c r="F333" t="s">
        <v>385</v>
      </c>
      <c r="G333">
        <v>3</v>
      </c>
      <c r="H333">
        <v>69.31</v>
      </c>
      <c r="I333">
        <v>93.401300000000006</v>
      </c>
      <c r="J333">
        <v>82.809399999999982</v>
      </c>
      <c r="K333">
        <v>76.403199999999998</v>
      </c>
      <c r="L333" s="19">
        <v>45503</v>
      </c>
      <c r="M333" s="19">
        <v>45713</v>
      </c>
      <c r="N333" s="19">
        <v>45716</v>
      </c>
      <c r="O333">
        <v>68.400000000000006</v>
      </c>
      <c r="P333">
        <v>69.989999999999995</v>
      </c>
      <c r="Q333">
        <v>68</v>
      </c>
      <c r="R333">
        <v>334181</v>
      </c>
      <c r="S333">
        <v>237868.1</v>
      </c>
      <c r="T333" t="s">
        <v>386</v>
      </c>
      <c r="U333">
        <v>42.810954871020257</v>
      </c>
    </row>
    <row r="334" spans="1:21" x14ac:dyDescent="0.25">
      <c r="A334" t="s">
        <v>305</v>
      </c>
      <c r="B334">
        <v>159.56239258545421</v>
      </c>
      <c r="C334">
        <v>1.1734064427690249</v>
      </c>
      <c r="D334" t="s">
        <v>383</v>
      </c>
      <c r="E334">
        <v>151</v>
      </c>
      <c r="F334" t="s">
        <v>383</v>
      </c>
      <c r="G334">
        <v>56</v>
      </c>
      <c r="H334">
        <v>3690.3</v>
      </c>
      <c r="I334">
        <v>5166.7179999999998</v>
      </c>
      <c r="J334">
        <v>4576.7134999999998</v>
      </c>
      <c r="K334">
        <v>4110.4260000000004</v>
      </c>
      <c r="L334" s="19">
        <v>45499</v>
      </c>
      <c r="M334" s="19">
        <v>45638</v>
      </c>
      <c r="N334" s="19">
        <v>45716</v>
      </c>
      <c r="O334">
        <v>3606.6</v>
      </c>
      <c r="P334">
        <v>3738.4</v>
      </c>
      <c r="Q334">
        <v>3566.95</v>
      </c>
      <c r="R334">
        <v>116896</v>
      </c>
      <c r="S334">
        <v>45035.8</v>
      </c>
      <c r="T334" t="s">
        <v>386</v>
      </c>
      <c r="U334">
        <v>32.749550268596977</v>
      </c>
    </row>
    <row r="335" spans="1:21" x14ac:dyDescent="0.25">
      <c r="A335" t="s">
        <v>57</v>
      </c>
      <c r="B335">
        <v>79.858870888329577</v>
      </c>
      <c r="C335">
        <v>-4.0957356456604446</v>
      </c>
      <c r="D335" t="s">
        <v>385</v>
      </c>
      <c r="E335">
        <v>178</v>
      </c>
      <c r="F335" t="s">
        <v>383</v>
      </c>
      <c r="G335">
        <v>1</v>
      </c>
      <c r="H335">
        <v>11574.35</v>
      </c>
      <c r="I335">
        <v>10240.973</v>
      </c>
      <c r="J335">
        <v>11036.13</v>
      </c>
      <c r="K335">
        <v>11453.23</v>
      </c>
      <c r="L335" s="19">
        <v>45461</v>
      </c>
      <c r="M335" s="19">
        <v>45716</v>
      </c>
      <c r="N335" s="19">
        <v>45716</v>
      </c>
      <c r="O335">
        <v>11854.15</v>
      </c>
      <c r="P335">
        <v>12000</v>
      </c>
      <c r="Q335">
        <v>11202</v>
      </c>
      <c r="R335">
        <v>182651</v>
      </c>
      <c r="S335">
        <v>101552.4</v>
      </c>
      <c r="T335" t="s">
        <v>386</v>
      </c>
      <c r="U335">
        <v>48.226927428046842</v>
      </c>
    </row>
    <row r="336" spans="1:21" x14ac:dyDescent="0.25">
      <c r="A336" t="s">
        <v>291</v>
      </c>
      <c r="B336">
        <v>184.39731616739459</v>
      </c>
      <c r="C336">
        <v>-7.4587458745874544</v>
      </c>
      <c r="D336" t="s">
        <v>383</v>
      </c>
      <c r="E336">
        <v>192</v>
      </c>
      <c r="F336" t="s">
        <v>383</v>
      </c>
      <c r="G336">
        <v>13</v>
      </c>
      <c r="H336">
        <v>210.3</v>
      </c>
      <c r="I336">
        <v>406.76504999999997</v>
      </c>
      <c r="J336">
        <v>320.34050000000002</v>
      </c>
      <c r="K336">
        <v>269.82799999999997</v>
      </c>
      <c r="L336" s="19">
        <v>45440</v>
      </c>
      <c r="M336" s="19">
        <v>45699</v>
      </c>
      <c r="N336" s="19">
        <v>45716</v>
      </c>
      <c r="O336">
        <v>224.05</v>
      </c>
      <c r="P336">
        <v>227.25</v>
      </c>
      <c r="Q336">
        <v>206</v>
      </c>
      <c r="R336">
        <v>1757418</v>
      </c>
      <c r="S336">
        <v>617944.65</v>
      </c>
      <c r="T336" t="s">
        <v>386</v>
      </c>
      <c r="U336">
        <v>35.378686149383647</v>
      </c>
    </row>
    <row r="337" spans="1:21" x14ac:dyDescent="0.25">
      <c r="A337" t="s">
        <v>342</v>
      </c>
      <c r="B337">
        <v>-29.87843823688835</v>
      </c>
      <c r="C337">
        <v>-1.235886481537996</v>
      </c>
      <c r="D337" t="s">
        <v>383</v>
      </c>
      <c r="E337">
        <v>242</v>
      </c>
      <c r="F337" t="s">
        <v>383</v>
      </c>
      <c r="G337">
        <v>40</v>
      </c>
      <c r="H337">
        <v>323.64999999999998</v>
      </c>
      <c r="I337">
        <v>451.04975000000002</v>
      </c>
      <c r="J337">
        <v>400.76350000000002</v>
      </c>
      <c r="K337">
        <v>368.88499999999999</v>
      </c>
      <c r="L337" s="19">
        <v>45363</v>
      </c>
      <c r="M337" s="19">
        <v>45663</v>
      </c>
      <c r="N337" s="19">
        <v>45716</v>
      </c>
      <c r="O337">
        <v>326.75</v>
      </c>
      <c r="P337">
        <v>330.05</v>
      </c>
      <c r="Q337">
        <v>318.8</v>
      </c>
      <c r="R337">
        <v>81242</v>
      </c>
      <c r="S337">
        <v>115858.8</v>
      </c>
      <c r="T337" t="s">
        <v>384</v>
      </c>
      <c r="U337">
        <v>36.110041731883101</v>
      </c>
    </row>
    <row r="338" spans="1:21" x14ac:dyDescent="0.25">
      <c r="A338" t="s">
        <v>314</v>
      </c>
      <c r="B338">
        <v>241.0093653096325</v>
      </c>
      <c r="C338">
        <v>-2.6467203682393472</v>
      </c>
      <c r="D338" t="s">
        <v>383</v>
      </c>
      <c r="E338">
        <v>249</v>
      </c>
      <c r="F338" t="s">
        <v>383</v>
      </c>
      <c r="G338">
        <v>40</v>
      </c>
      <c r="H338">
        <v>253.8</v>
      </c>
      <c r="I338">
        <v>441.31274999999999</v>
      </c>
      <c r="J338">
        <v>390.82850000000002</v>
      </c>
      <c r="K338">
        <v>358.19900000000001</v>
      </c>
      <c r="L338" s="19">
        <v>45352</v>
      </c>
      <c r="M338" s="19">
        <v>45663</v>
      </c>
      <c r="N338" s="19">
        <v>45716</v>
      </c>
      <c r="O338">
        <v>261</v>
      </c>
      <c r="P338">
        <v>265.05</v>
      </c>
      <c r="Q338">
        <v>250.25</v>
      </c>
      <c r="R338">
        <v>1880660</v>
      </c>
      <c r="S338">
        <v>551498.05000000005</v>
      </c>
      <c r="U338">
        <v>15.048927467121301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61"/>
  <sheetViews>
    <sheetView workbookViewId="0"/>
  </sheetViews>
  <sheetFormatPr defaultRowHeight="12.5" x14ac:dyDescent="0.25"/>
  <sheetData>
    <row r="1" spans="1:8" ht="13" customHeight="1" x14ac:dyDescent="0.25">
      <c r="A1" s="20" t="s">
        <v>362</v>
      </c>
      <c r="B1" s="20" t="s">
        <v>387</v>
      </c>
      <c r="C1" s="20" t="s">
        <v>388</v>
      </c>
      <c r="D1" s="20" t="s">
        <v>389</v>
      </c>
      <c r="E1" s="20" t="s">
        <v>390</v>
      </c>
      <c r="F1" s="20" t="s">
        <v>391</v>
      </c>
      <c r="G1" s="20" t="s">
        <v>392</v>
      </c>
      <c r="H1" s="20" t="s">
        <v>393</v>
      </c>
    </row>
    <row r="2" spans="1:8" x14ac:dyDescent="0.25">
      <c r="A2" t="s">
        <v>18</v>
      </c>
      <c r="B2" t="s">
        <v>385</v>
      </c>
      <c r="C2">
        <v>2</v>
      </c>
      <c r="D2">
        <v>692.25</v>
      </c>
      <c r="E2" s="19">
        <v>45659</v>
      </c>
      <c r="F2">
        <v>670.65</v>
      </c>
      <c r="G2" s="19">
        <v>45660</v>
      </c>
      <c r="H2">
        <v>-3.1202600216684759</v>
      </c>
    </row>
    <row r="3" spans="1:8" x14ac:dyDescent="0.25">
      <c r="A3" t="s">
        <v>18</v>
      </c>
      <c r="B3" t="s">
        <v>383</v>
      </c>
      <c r="C3">
        <v>13</v>
      </c>
      <c r="D3">
        <v>601.6</v>
      </c>
      <c r="E3" s="19">
        <v>45638</v>
      </c>
      <c r="F3">
        <v>686.25</v>
      </c>
      <c r="G3" s="19">
        <v>45657</v>
      </c>
      <c r="H3">
        <v>-14.07081117021276</v>
      </c>
    </row>
    <row r="4" spans="1:8" x14ac:dyDescent="0.25">
      <c r="A4" t="s">
        <v>18</v>
      </c>
      <c r="B4" t="s">
        <v>385</v>
      </c>
      <c r="C4">
        <v>22</v>
      </c>
      <c r="D4">
        <v>688.1</v>
      </c>
      <c r="E4" s="19">
        <v>45603</v>
      </c>
      <c r="F4">
        <v>605.75</v>
      </c>
      <c r="G4" s="19">
        <v>45636</v>
      </c>
      <c r="H4">
        <v>-11.967737247493099</v>
      </c>
    </row>
    <row r="5" spans="1:8" x14ac:dyDescent="0.25">
      <c r="A5" t="s">
        <v>18</v>
      </c>
      <c r="B5" t="s">
        <v>383</v>
      </c>
      <c r="C5">
        <v>21</v>
      </c>
      <c r="D5">
        <v>602.79999999999995</v>
      </c>
      <c r="E5" s="19">
        <v>45573</v>
      </c>
      <c r="F5">
        <v>660.7</v>
      </c>
      <c r="G5" s="19">
        <v>45601</v>
      </c>
      <c r="H5">
        <v>-9.6051758460517735</v>
      </c>
    </row>
    <row r="6" spans="1:8" x14ac:dyDescent="0.25">
      <c r="A6" t="s">
        <v>18</v>
      </c>
      <c r="B6" t="s">
        <v>385</v>
      </c>
      <c r="C6">
        <v>112</v>
      </c>
      <c r="D6">
        <v>531.85</v>
      </c>
      <c r="E6" s="19">
        <v>45407</v>
      </c>
      <c r="F6">
        <v>621.15</v>
      </c>
      <c r="G6" s="19">
        <v>45569</v>
      </c>
      <c r="H6">
        <v>16.790448434709031</v>
      </c>
    </row>
    <row r="7" spans="1:8" x14ac:dyDescent="0.25">
      <c r="A7" t="s">
        <v>18</v>
      </c>
      <c r="B7" t="s">
        <v>383</v>
      </c>
      <c r="C7">
        <v>29</v>
      </c>
      <c r="D7">
        <v>456</v>
      </c>
      <c r="E7" s="19">
        <v>45357</v>
      </c>
      <c r="F7">
        <v>519.70000000000005</v>
      </c>
      <c r="G7" s="19">
        <v>45405</v>
      </c>
      <c r="H7">
        <v>-13.96929824561404</v>
      </c>
    </row>
    <row r="8" spans="1:8" x14ac:dyDescent="0.25">
      <c r="A8" t="s">
        <v>18</v>
      </c>
      <c r="B8" t="s">
        <v>385</v>
      </c>
      <c r="C8">
        <v>64</v>
      </c>
      <c r="D8">
        <v>471.7</v>
      </c>
      <c r="E8" s="19">
        <v>45265</v>
      </c>
      <c r="F8">
        <v>481.5</v>
      </c>
      <c r="G8" s="19">
        <v>45355</v>
      </c>
      <c r="H8">
        <v>2.0775916896332438</v>
      </c>
    </row>
    <row r="9" spans="1:8" x14ac:dyDescent="0.25">
      <c r="A9" t="s">
        <v>18</v>
      </c>
      <c r="B9" t="s">
        <v>383</v>
      </c>
      <c r="C9">
        <v>23</v>
      </c>
      <c r="D9">
        <v>384.9</v>
      </c>
      <c r="E9" s="19">
        <v>45230</v>
      </c>
      <c r="F9">
        <v>425.5</v>
      </c>
      <c r="G9" s="19">
        <v>45261</v>
      </c>
      <c r="H9">
        <v>-10.548194336191219</v>
      </c>
    </row>
    <row r="10" spans="1:8" x14ac:dyDescent="0.25">
      <c r="A10" t="s">
        <v>19</v>
      </c>
      <c r="B10" t="s">
        <v>383</v>
      </c>
      <c r="C10">
        <v>53</v>
      </c>
      <c r="D10">
        <v>1731.15</v>
      </c>
      <c r="E10" s="19">
        <v>45583</v>
      </c>
      <c r="F10">
        <v>1701.35</v>
      </c>
      <c r="G10" s="19">
        <v>45660</v>
      </c>
      <c r="H10">
        <v>1.721399069982392</v>
      </c>
    </row>
    <row r="11" spans="1:8" x14ac:dyDescent="0.25">
      <c r="A11" t="s">
        <v>19</v>
      </c>
      <c r="B11" t="s">
        <v>385</v>
      </c>
      <c r="C11">
        <v>28</v>
      </c>
      <c r="D11">
        <v>1875.85</v>
      </c>
      <c r="E11" s="19">
        <v>45541</v>
      </c>
      <c r="F11">
        <v>1746.6</v>
      </c>
      <c r="G11" s="19">
        <v>45581</v>
      </c>
      <c r="H11">
        <v>-6.8902097715702224</v>
      </c>
    </row>
    <row r="12" spans="1:8" x14ac:dyDescent="0.25">
      <c r="A12" t="s">
        <v>19</v>
      </c>
      <c r="B12" t="s">
        <v>383</v>
      </c>
      <c r="C12">
        <v>21</v>
      </c>
      <c r="D12">
        <v>1630</v>
      </c>
      <c r="E12" s="19">
        <v>45510</v>
      </c>
      <c r="F12">
        <v>1741.45</v>
      </c>
      <c r="G12" s="19">
        <v>45539</v>
      </c>
      <c r="H12">
        <v>-6.8374233128834376</v>
      </c>
    </row>
    <row r="13" spans="1:8" x14ac:dyDescent="0.25">
      <c r="A13" t="s">
        <v>19</v>
      </c>
      <c r="B13" t="s">
        <v>385</v>
      </c>
      <c r="C13">
        <v>78</v>
      </c>
      <c r="D13">
        <v>1579.5</v>
      </c>
      <c r="E13" s="19">
        <v>45392</v>
      </c>
      <c r="F13">
        <v>1673.4</v>
      </c>
      <c r="G13" s="19">
        <v>45506</v>
      </c>
      <c r="H13">
        <v>5.944919278252617</v>
      </c>
    </row>
    <row r="14" spans="1:8" x14ac:dyDescent="0.25">
      <c r="A14" t="s">
        <v>19</v>
      </c>
      <c r="B14" t="s">
        <v>383</v>
      </c>
      <c r="C14">
        <v>49</v>
      </c>
      <c r="D14">
        <v>1516.25</v>
      </c>
      <c r="E14" s="19">
        <v>45320</v>
      </c>
      <c r="F14">
        <v>1626</v>
      </c>
      <c r="G14" s="19">
        <v>45390</v>
      </c>
      <c r="H14">
        <v>-7.2382522671063469</v>
      </c>
    </row>
    <row r="15" spans="1:8" x14ac:dyDescent="0.25">
      <c r="A15" t="s">
        <v>19</v>
      </c>
      <c r="B15" t="s">
        <v>385</v>
      </c>
      <c r="C15">
        <v>14</v>
      </c>
      <c r="D15">
        <v>1566.05</v>
      </c>
      <c r="E15" s="19">
        <v>45296</v>
      </c>
      <c r="F15">
        <v>1493.7</v>
      </c>
      <c r="G15" s="19">
        <v>45315</v>
      </c>
      <c r="H15">
        <v>-4.6199035790683514</v>
      </c>
    </row>
    <row r="16" spans="1:8" x14ac:dyDescent="0.25">
      <c r="A16" t="s">
        <v>19</v>
      </c>
      <c r="B16" t="s">
        <v>383</v>
      </c>
      <c r="C16">
        <v>47</v>
      </c>
      <c r="D16">
        <v>1547.35</v>
      </c>
      <c r="E16" s="19">
        <v>45226</v>
      </c>
      <c r="F16">
        <v>1567.7</v>
      </c>
      <c r="G16" s="19">
        <v>45294</v>
      </c>
      <c r="H16">
        <v>-1.315151710989765</v>
      </c>
    </row>
    <row r="17" spans="1:8" x14ac:dyDescent="0.25">
      <c r="A17" t="s">
        <v>19</v>
      </c>
      <c r="B17" t="s">
        <v>385</v>
      </c>
      <c r="C17">
        <v>74</v>
      </c>
      <c r="D17">
        <v>1542.65</v>
      </c>
      <c r="E17" s="19">
        <v>45117</v>
      </c>
      <c r="F17">
        <v>1548.4</v>
      </c>
      <c r="G17" s="19">
        <v>45224</v>
      </c>
      <c r="H17">
        <v>0.372735228340842</v>
      </c>
    </row>
    <row r="18" spans="1:8" x14ac:dyDescent="0.25">
      <c r="A18" t="s">
        <v>19</v>
      </c>
      <c r="B18" t="s">
        <v>383</v>
      </c>
      <c r="C18">
        <v>84</v>
      </c>
      <c r="D18">
        <v>1836.3</v>
      </c>
      <c r="E18" s="19">
        <v>44987</v>
      </c>
      <c r="F18">
        <v>1535</v>
      </c>
      <c r="G18" s="19">
        <v>45113</v>
      </c>
      <c r="H18">
        <v>16.407994336437401</v>
      </c>
    </row>
    <row r="19" spans="1:8" x14ac:dyDescent="0.25">
      <c r="A19" t="s">
        <v>20</v>
      </c>
      <c r="B19" t="s">
        <v>383</v>
      </c>
      <c r="C19">
        <v>59</v>
      </c>
      <c r="D19">
        <v>2313</v>
      </c>
      <c r="E19" s="19">
        <v>45575</v>
      </c>
      <c r="F19">
        <v>2054.9499999999998</v>
      </c>
      <c r="G19" s="19">
        <v>45660</v>
      </c>
      <c r="H19">
        <v>11.15650670125379</v>
      </c>
    </row>
    <row r="20" spans="1:8" x14ac:dyDescent="0.25">
      <c r="A20" t="s">
        <v>20</v>
      </c>
      <c r="B20" t="s">
        <v>385</v>
      </c>
      <c r="C20">
        <v>5</v>
      </c>
      <c r="D20">
        <v>2511</v>
      </c>
      <c r="E20" s="19">
        <v>45566</v>
      </c>
      <c r="F20">
        <v>2385.8000000000002</v>
      </c>
      <c r="G20" s="19">
        <v>45573</v>
      </c>
      <c r="H20">
        <v>-4.9860613301473444</v>
      </c>
    </row>
    <row r="21" spans="1:8" x14ac:dyDescent="0.25">
      <c r="A21" t="s">
        <v>20</v>
      </c>
      <c r="B21" t="s">
        <v>383</v>
      </c>
      <c r="C21">
        <v>39</v>
      </c>
      <c r="D21">
        <v>2380.6</v>
      </c>
      <c r="E21" s="19">
        <v>45509</v>
      </c>
      <c r="F21">
        <v>2483.3000000000002</v>
      </c>
      <c r="G21" s="19">
        <v>45562</v>
      </c>
      <c r="H21">
        <v>-4.3140384776947096</v>
      </c>
    </row>
    <row r="22" spans="1:8" x14ac:dyDescent="0.25">
      <c r="A22" t="s">
        <v>20</v>
      </c>
      <c r="B22" t="s">
        <v>385</v>
      </c>
      <c r="C22">
        <v>35</v>
      </c>
      <c r="D22">
        <v>2624.4</v>
      </c>
      <c r="E22" s="19">
        <v>45455</v>
      </c>
      <c r="F22">
        <v>2487.9</v>
      </c>
      <c r="G22" s="19">
        <v>45505</v>
      </c>
      <c r="H22">
        <v>-5.2011888431641511</v>
      </c>
    </row>
    <row r="23" spans="1:8" x14ac:dyDescent="0.25">
      <c r="A23" t="s">
        <v>20</v>
      </c>
      <c r="B23" t="s">
        <v>383</v>
      </c>
      <c r="C23">
        <v>2</v>
      </c>
      <c r="D23">
        <v>2499.1</v>
      </c>
      <c r="E23" s="19">
        <v>45450</v>
      </c>
      <c r="F23">
        <v>2543.1</v>
      </c>
      <c r="G23" s="19">
        <v>45453</v>
      </c>
      <c r="H23">
        <v>-1.760633828178144</v>
      </c>
    </row>
    <row r="24" spans="1:8" x14ac:dyDescent="0.25">
      <c r="A24" t="s">
        <v>20</v>
      </c>
      <c r="B24" t="s">
        <v>385</v>
      </c>
      <c r="C24">
        <v>9</v>
      </c>
      <c r="D24">
        <v>2609.25</v>
      </c>
      <c r="E24" s="19">
        <v>45436</v>
      </c>
      <c r="F24">
        <v>2401.6</v>
      </c>
      <c r="G24" s="19">
        <v>45448</v>
      </c>
      <c r="H24">
        <v>-7.9582255437386253</v>
      </c>
    </row>
    <row r="25" spans="1:8" x14ac:dyDescent="0.25">
      <c r="A25" t="s">
        <v>20</v>
      </c>
      <c r="B25" t="s">
        <v>383</v>
      </c>
      <c r="C25">
        <v>22</v>
      </c>
      <c r="D25">
        <v>2403.5500000000002</v>
      </c>
      <c r="E25" s="19">
        <v>45404</v>
      </c>
      <c r="F25">
        <v>2543.35</v>
      </c>
      <c r="G25" s="19">
        <v>45434</v>
      </c>
      <c r="H25">
        <v>-5.816396580058651</v>
      </c>
    </row>
    <row r="26" spans="1:8" x14ac:dyDescent="0.25">
      <c r="A26" t="s">
        <v>20</v>
      </c>
      <c r="B26" t="s">
        <v>385</v>
      </c>
      <c r="C26">
        <v>90</v>
      </c>
      <c r="D26">
        <v>2141.5500000000002</v>
      </c>
      <c r="E26" s="19">
        <v>45267</v>
      </c>
      <c r="F26">
        <v>2412</v>
      </c>
      <c r="G26" s="19">
        <v>45400</v>
      </c>
      <c r="H26">
        <v>12.628703509140569</v>
      </c>
    </row>
    <row r="27" spans="1:8" x14ac:dyDescent="0.25">
      <c r="A27" t="s">
        <v>20</v>
      </c>
      <c r="B27" t="s">
        <v>383</v>
      </c>
      <c r="C27">
        <v>27</v>
      </c>
      <c r="D27">
        <v>1878</v>
      </c>
      <c r="E27" s="19">
        <v>45226</v>
      </c>
      <c r="F27">
        <v>2184.8000000000002</v>
      </c>
      <c r="G27" s="19">
        <v>45265</v>
      </c>
      <c r="H27">
        <v>-16.33652822151226</v>
      </c>
    </row>
    <row r="28" spans="1:8" x14ac:dyDescent="0.25">
      <c r="A28" t="s">
        <v>20</v>
      </c>
      <c r="B28" t="s">
        <v>385</v>
      </c>
      <c r="C28">
        <v>62</v>
      </c>
      <c r="D28">
        <v>1925</v>
      </c>
      <c r="E28" s="19">
        <v>45133</v>
      </c>
      <c r="F28">
        <v>1891.1</v>
      </c>
      <c r="G28" s="19">
        <v>45224</v>
      </c>
      <c r="H28">
        <v>-1.7610389610389661</v>
      </c>
    </row>
    <row r="29" spans="1:8" x14ac:dyDescent="0.25">
      <c r="A29" t="s">
        <v>20</v>
      </c>
      <c r="B29" t="s">
        <v>383</v>
      </c>
      <c r="C29">
        <v>7</v>
      </c>
      <c r="D29">
        <v>1778.65</v>
      </c>
      <c r="E29" s="19">
        <v>45121</v>
      </c>
      <c r="F29">
        <v>1805.5</v>
      </c>
      <c r="G29" s="19">
        <v>45131</v>
      </c>
      <c r="H29">
        <v>-1.5095718663030899</v>
      </c>
    </row>
    <row r="30" spans="1:8" x14ac:dyDescent="0.25">
      <c r="A30" t="s">
        <v>20</v>
      </c>
      <c r="B30" t="s">
        <v>385</v>
      </c>
      <c r="C30">
        <v>25</v>
      </c>
      <c r="D30">
        <v>1851.75</v>
      </c>
      <c r="E30" s="19">
        <v>45084</v>
      </c>
      <c r="F30">
        <v>1788</v>
      </c>
      <c r="G30" s="19">
        <v>45119</v>
      </c>
      <c r="H30">
        <v>-3.4426893479141349</v>
      </c>
    </row>
    <row r="31" spans="1:8" x14ac:dyDescent="0.25">
      <c r="A31" t="s">
        <v>20</v>
      </c>
      <c r="B31" t="s">
        <v>383</v>
      </c>
      <c r="C31">
        <v>99</v>
      </c>
      <c r="D31">
        <v>2464.65</v>
      </c>
      <c r="E31" s="19">
        <v>44935</v>
      </c>
      <c r="F31">
        <v>1810.45</v>
      </c>
      <c r="G31" s="19">
        <v>45082</v>
      </c>
      <c r="H31">
        <v>26.543322581299581</v>
      </c>
    </row>
    <row r="32" spans="1:8" x14ac:dyDescent="0.25">
      <c r="A32" t="s">
        <v>21</v>
      </c>
      <c r="B32" t="s">
        <v>383</v>
      </c>
      <c r="C32">
        <v>80</v>
      </c>
      <c r="D32">
        <v>1453.4</v>
      </c>
      <c r="E32" s="19">
        <v>45545</v>
      </c>
      <c r="F32">
        <v>1199.55</v>
      </c>
      <c r="G32" s="19">
        <v>45660</v>
      </c>
      <c r="H32">
        <v>17.465941929269309</v>
      </c>
    </row>
    <row r="33" spans="1:8" x14ac:dyDescent="0.25">
      <c r="A33" t="s">
        <v>21</v>
      </c>
      <c r="B33" t="s">
        <v>385</v>
      </c>
      <c r="C33">
        <v>193</v>
      </c>
      <c r="D33">
        <v>835.55</v>
      </c>
      <c r="E33" s="19">
        <v>45259</v>
      </c>
      <c r="F33">
        <v>1442.4</v>
      </c>
      <c r="G33" s="19">
        <v>45541</v>
      </c>
      <c r="H33">
        <v>72.62880737238946</v>
      </c>
    </row>
    <row r="34" spans="1:8" x14ac:dyDescent="0.25">
      <c r="A34" t="s">
        <v>21</v>
      </c>
      <c r="B34" t="s">
        <v>383</v>
      </c>
      <c r="C34">
        <v>1</v>
      </c>
      <c r="D34">
        <v>795.55</v>
      </c>
      <c r="E34" s="19">
        <v>45254</v>
      </c>
      <c r="F34">
        <v>795.55</v>
      </c>
      <c r="G34" s="19">
        <v>45254</v>
      </c>
      <c r="H34">
        <v>0</v>
      </c>
    </row>
    <row r="35" spans="1:8" x14ac:dyDescent="0.25">
      <c r="A35" t="s">
        <v>21</v>
      </c>
      <c r="B35" t="s">
        <v>385</v>
      </c>
      <c r="C35">
        <v>3</v>
      </c>
      <c r="D35">
        <v>803.6</v>
      </c>
      <c r="E35" s="19">
        <v>45250</v>
      </c>
      <c r="F35">
        <v>791.9</v>
      </c>
      <c r="G35" s="19">
        <v>45252</v>
      </c>
      <c r="H35">
        <v>-1.455948232951723</v>
      </c>
    </row>
    <row r="36" spans="1:8" x14ac:dyDescent="0.25">
      <c r="A36" t="s">
        <v>21</v>
      </c>
      <c r="B36" t="s">
        <v>383</v>
      </c>
      <c r="C36">
        <v>16</v>
      </c>
      <c r="D36">
        <v>770.35</v>
      </c>
      <c r="E36" s="19">
        <v>45225</v>
      </c>
      <c r="F36">
        <v>813.6</v>
      </c>
      <c r="G36" s="19">
        <v>45246</v>
      </c>
      <c r="H36">
        <v>-5.6143311481793976</v>
      </c>
    </row>
    <row r="37" spans="1:8" x14ac:dyDescent="0.25">
      <c r="A37" t="s">
        <v>21</v>
      </c>
      <c r="B37" t="s">
        <v>385</v>
      </c>
      <c r="C37">
        <v>121</v>
      </c>
      <c r="D37">
        <v>681.5</v>
      </c>
      <c r="E37" s="19">
        <v>45048</v>
      </c>
      <c r="F37">
        <v>771.45</v>
      </c>
      <c r="G37" s="19">
        <v>45222</v>
      </c>
      <c r="H37">
        <v>13.19882611885547</v>
      </c>
    </row>
    <row r="38" spans="1:8" x14ac:dyDescent="0.25">
      <c r="A38" t="s">
        <v>22</v>
      </c>
      <c r="B38" t="s">
        <v>383</v>
      </c>
      <c r="C38">
        <v>97</v>
      </c>
      <c r="D38">
        <v>697.4</v>
      </c>
      <c r="E38" s="19">
        <v>45520</v>
      </c>
      <c r="F38">
        <v>520.45000000000005</v>
      </c>
      <c r="G38" s="19">
        <v>45660</v>
      </c>
      <c r="H38">
        <v>25.372813306567249</v>
      </c>
    </row>
    <row r="39" spans="1:8" x14ac:dyDescent="0.25">
      <c r="A39" t="s">
        <v>22</v>
      </c>
      <c r="B39" t="s">
        <v>385</v>
      </c>
      <c r="C39">
        <v>89</v>
      </c>
      <c r="D39">
        <v>642</v>
      </c>
      <c r="E39" s="19">
        <v>45386</v>
      </c>
      <c r="F39">
        <v>689.5</v>
      </c>
      <c r="G39" s="19">
        <v>45517</v>
      </c>
      <c r="H39">
        <v>7.398753894080996</v>
      </c>
    </row>
    <row r="40" spans="1:8" x14ac:dyDescent="0.25">
      <c r="A40" t="s">
        <v>22</v>
      </c>
      <c r="B40" t="s">
        <v>383</v>
      </c>
      <c r="C40">
        <v>4</v>
      </c>
      <c r="D40">
        <v>516.54999999999995</v>
      </c>
      <c r="E40" s="19">
        <v>45378</v>
      </c>
      <c r="F40">
        <v>588.45000000000005</v>
      </c>
      <c r="G40" s="19">
        <v>45384</v>
      </c>
      <c r="H40">
        <v>-13.91927209369859</v>
      </c>
    </row>
    <row r="41" spans="1:8" x14ac:dyDescent="0.25">
      <c r="A41" t="s">
        <v>22</v>
      </c>
      <c r="B41" t="s">
        <v>385</v>
      </c>
      <c r="C41">
        <v>225</v>
      </c>
      <c r="D41">
        <v>231.65</v>
      </c>
      <c r="E41" s="19">
        <v>45049</v>
      </c>
      <c r="F41">
        <v>531.04999999999995</v>
      </c>
      <c r="G41" s="19">
        <v>45373</v>
      </c>
      <c r="H41">
        <v>129.24670839628749</v>
      </c>
    </row>
    <row r="42" spans="1:8" x14ac:dyDescent="0.25">
      <c r="A42" t="s">
        <v>23</v>
      </c>
      <c r="B42" t="s">
        <v>385</v>
      </c>
      <c r="C42">
        <v>91</v>
      </c>
      <c r="D42">
        <v>249.86</v>
      </c>
      <c r="E42" s="19">
        <v>45530</v>
      </c>
      <c r="F42">
        <v>294.10000000000002</v>
      </c>
      <c r="G42" s="19">
        <v>45660</v>
      </c>
      <c r="H42">
        <v>17.705915312575041</v>
      </c>
    </row>
    <row r="43" spans="1:8" x14ac:dyDescent="0.25">
      <c r="A43" t="s">
        <v>23</v>
      </c>
      <c r="B43" t="s">
        <v>383</v>
      </c>
      <c r="C43">
        <v>5</v>
      </c>
      <c r="D43">
        <v>222.96</v>
      </c>
      <c r="E43" s="19">
        <v>45520</v>
      </c>
      <c r="F43">
        <v>228.98</v>
      </c>
      <c r="G43" s="19">
        <v>45526</v>
      </c>
      <c r="H43">
        <v>-2.7000358808754852</v>
      </c>
    </row>
    <row r="44" spans="1:8" x14ac:dyDescent="0.25">
      <c r="A44" t="s">
        <v>23</v>
      </c>
      <c r="B44" t="s">
        <v>385</v>
      </c>
      <c r="C44">
        <v>78</v>
      </c>
      <c r="D44">
        <v>230.5</v>
      </c>
      <c r="E44" s="19">
        <v>45405</v>
      </c>
      <c r="F44">
        <v>225.01</v>
      </c>
      <c r="G44" s="19">
        <v>45517</v>
      </c>
      <c r="H44">
        <v>-2.3817787418655141</v>
      </c>
    </row>
    <row r="45" spans="1:8" x14ac:dyDescent="0.25">
      <c r="A45" t="s">
        <v>23</v>
      </c>
      <c r="B45" t="s">
        <v>383</v>
      </c>
      <c r="C45">
        <v>22</v>
      </c>
      <c r="D45">
        <v>188.95</v>
      </c>
      <c r="E45" s="19">
        <v>45365</v>
      </c>
      <c r="F45">
        <v>215.5</v>
      </c>
      <c r="G45" s="19">
        <v>45401</v>
      </c>
      <c r="H45">
        <v>-14.05133633236307</v>
      </c>
    </row>
    <row r="46" spans="1:8" x14ac:dyDescent="0.25">
      <c r="A46" t="s">
        <v>23</v>
      </c>
      <c r="B46" t="s">
        <v>385</v>
      </c>
      <c r="C46">
        <v>2</v>
      </c>
      <c r="D46">
        <v>201.55</v>
      </c>
      <c r="E46" s="19">
        <v>45362</v>
      </c>
      <c r="F46">
        <v>193.75</v>
      </c>
      <c r="G46" s="19">
        <v>45363</v>
      </c>
      <c r="H46">
        <v>-3.8700074423220099</v>
      </c>
    </row>
    <row r="47" spans="1:8" x14ac:dyDescent="0.25">
      <c r="A47" t="s">
        <v>23</v>
      </c>
      <c r="B47" t="s">
        <v>383</v>
      </c>
      <c r="C47">
        <v>74</v>
      </c>
      <c r="D47">
        <v>213.95</v>
      </c>
      <c r="E47" s="19">
        <v>45252</v>
      </c>
      <c r="F47">
        <v>201.45</v>
      </c>
      <c r="G47" s="19">
        <v>45357</v>
      </c>
      <c r="H47">
        <v>5.8424865622809063</v>
      </c>
    </row>
    <row r="48" spans="1:8" x14ac:dyDescent="0.25">
      <c r="A48" t="s">
        <v>23</v>
      </c>
      <c r="B48" t="s">
        <v>385</v>
      </c>
      <c r="C48">
        <v>24</v>
      </c>
      <c r="D48">
        <v>240.5</v>
      </c>
      <c r="E48" s="19">
        <v>45216</v>
      </c>
      <c r="F48">
        <v>214.65</v>
      </c>
      <c r="G48" s="19">
        <v>45250</v>
      </c>
      <c r="H48">
        <v>-10.74844074844075</v>
      </c>
    </row>
    <row r="49" spans="1:8" x14ac:dyDescent="0.25">
      <c r="A49" t="s">
        <v>23</v>
      </c>
      <c r="B49" t="s">
        <v>383</v>
      </c>
      <c r="C49">
        <v>3</v>
      </c>
      <c r="D49">
        <v>206.25</v>
      </c>
      <c r="E49" s="19">
        <v>45210</v>
      </c>
      <c r="F49">
        <v>245.9</v>
      </c>
      <c r="G49" s="19">
        <v>45212</v>
      </c>
      <c r="H49">
        <v>-19.22424242424243</v>
      </c>
    </row>
    <row r="50" spans="1:8" x14ac:dyDescent="0.25">
      <c r="A50" t="s">
        <v>23</v>
      </c>
      <c r="B50" t="s">
        <v>385</v>
      </c>
      <c r="C50">
        <v>117</v>
      </c>
      <c r="D50">
        <v>150.80000000000001</v>
      </c>
      <c r="E50" s="19">
        <v>45037</v>
      </c>
      <c r="F50">
        <v>209</v>
      </c>
      <c r="G50" s="19">
        <v>45208</v>
      </c>
      <c r="H50">
        <v>38.594164456233408</v>
      </c>
    </row>
    <row r="51" spans="1:8" x14ac:dyDescent="0.25">
      <c r="A51" t="s">
        <v>24</v>
      </c>
      <c r="B51" t="s">
        <v>385</v>
      </c>
      <c r="C51">
        <v>179</v>
      </c>
      <c r="D51">
        <v>509.65</v>
      </c>
      <c r="E51" s="19">
        <v>45400</v>
      </c>
      <c r="F51">
        <v>822.2</v>
      </c>
      <c r="G51" s="19">
        <v>45660</v>
      </c>
      <c r="H51">
        <v>61.326400470911423</v>
      </c>
    </row>
    <row r="52" spans="1:8" x14ac:dyDescent="0.25">
      <c r="A52" t="s">
        <v>24</v>
      </c>
      <c r="B52" t="s">
        <v>383</v>
      </c>
      <c r="C52">
        <v>13</v>
      </c>
      <c r="D52">
        <v>455.45</v>
      </c>
      <c r="E52" s="19">
        <v>45377</v>
      </c>
      <c r="F52">
        <v>499.2</v>
      </c>
      <c r="G52" s="19">
        <v>45397</v>
      </c>
      <c r="H52">
        <v>-9.6058842902623791</v>
      </c>
    </row>
    <row r="53" spans="1:8" x14ac:dyDescent="0.25">
      <c r="A53" t="s">
        <v>24</v>
      </c>
      <c r="B53" t="s">
        <v>385</v>
      </c>
      <c r="C53">
        <v>198</v>
      </c>
      <c r="D53">
        <v>373.1</v>
      </c>
      <c r="E53" s="19">
        <v>45085</v>
      </c>
      <c r="F53">
        <v>454.95</v>
      </c>
      <c r="G53" s="19">
        <v>45372</v>
      </c>
      <c r="H53">
        <v>21.937818279281689</v>
      </c>
    </row>
    <row r="54" spans="1:8" x14ac:dyDescent="0.25">
      <c r="A54" t="s">
        <v>24</v>
      </c>
      <c r="B54" t="s">
        <v>383</v>
      </c>
      <c r="C54">
        <v>85</v>
      </c>
      <c r="D54">
        <v>419.9</v>
      </c>
      <c r="E54" s="19">
        <v>44957</v>
      </c>
      <c r="F54">
        <v>372.2</v>
      </c>
      <c r="G54" s="19">
        <v>45083</v>
      </c>
      <c r="H54">
        <v>11.3598475827578</v>
      </c>
    </row>
    <row r="55" spans="1:8" x14ac:dyDescent="0.25">
      <c r="A55" t="s">
        <v>25</v>
      </c>
      <c r="B55" t="s">
        <v>383</v>
      </c>
      <c r="C55">
        <v>47</v>
      </c>
      <c r="D55">
        <v>305.39999999999998</v>
      </c>
      <c r="E55" s="19">
        <v>45593</v>
      </c>
      <c r="F55">
        <v>280.75</v>
      </c>
      <c r="G55" s="19">
        <v>45660</v>
      </c>
      <c r="H55">
        <v>8.071381794368035</v>
      </c>
    </row>
    <row r="56" spans="1:8" x14ac:dyDescent="0.25">
      <c r="A56" t="s">
        <v>25</v>
      </c>
      <c r="B56" t="s">
        <v>385</v>
      </c>
      <c r="C56">
        <v>134</v>
      </c>
      <c r="D56">
        <v>233.95</v>
      </c>
      <c r="E56" s="19">
        <v>45394</v>
      </c>
      <c r="F56">
        <v>308</v>
      </c>
      <c r="G56" s="19">
        <v>45589</v>
      </c>
      <c r="H56">
        <v>31.652062406497119</v>
      </c>
    </row>
    <row r="57" spans="1:8" x14ac:dyDescent="0.25">
      <c r="A57" t="s">
        <v>25</v>
      </c>
      <c r="B57" t="s">
        <v>383</v>
      </c>
      <c r="C57">
        <v>26</v>
      </c>
      <c r="D57">
        <v>229.75</v>
      </c>
      <c r="E57" s="19">
        <v>45352</v>
      </c>
      <c r="F57">
        <v>237.3</v>
      </c>
      <c r="G57" s="19">
        <v>45391</v>
      </c>
      <c r="H57">
        <v>-3.286180631120788</v>
      </c>
    </row>
    <row r="58" spans="1:8" x14ac:dyDescent="0.25">
      <c r="A58" t="s">
        <v>25</v>
      </c>
      <c r="B58" t="s">
        <v>385</v>
      </c>
      <c r="C58">
        <v>64</v>
      </c>
      <c r="D58">
        <v>226.15</v>
      </c>
      <c r="E58" s="19">
        <v>45259</v>
      </c>
      <c r="F58">
        <v>230.9</v>
      </c>
      <c r="G58" s="19">
        <v>45350</v>
      </c>
      <c r="H58">
        <v>2.1003758567322568</v>
      </c>
    </row>
    <row r="59" spans="1:8" x14ac:dyDescent="0.25">
      <c r="A59" t="s">
        <v>25</v>
      </c>
      <c r="B59" t="s">
        <v>383</v>
      </c>
      <c r="C59">
        <v>17</v>
      </c>
      <c r="D59">
        <v>215.1</v>
      </c>
      <c r="E59" s="19">
        <v>45232</v>
      </c>
      <c r="F59">
        <v>228.3</v>
      </c>
      <c r="G59" s="19">
        <v>45254</v>
      </c>
      <c r="H59">
        <v>-6.1366806136680694</v>
      </c>
    </row>
    <row r="60" spans="1:8" x14ac:dyDescent="0.25">
      <c r="A60" t="s">
        <v>25</v>
      </c>
      <c r="B60" t="s">
        <v>385</v>
      </c>
      <c r="C60">
        <v>77</v>
      </c>
      <c r="D60">
        <v>218</v>
      </c>
      <c r="E60" s="19">
        <v>45118</v>
      </c>
      <c r="F60">
        <v>214.75</v>
      </c>
      <c r="G60" s="19">
        <v>45230</v>
      </c>
      <c r="H60">
        <v>-1.490825688073395</v>
      </c>
    </row>
    <row r="61" spans="1:8" x14ac:dyDescent="0.25">
      <c r="A61" t="s">
        <v>25</v>
      </c>
      <c r="B61" t="s">
        <v>383</v>
      </c>
      <c r="C61">
        <v>156</v>
      </c>
      <c r="D61">
        <v>309.35000000000002</v>
      </c>
      <c r="E61" s="19">
        <v>44887</v>
      </c>
      <c r="F61">
        <v>213.45</v>
      </c>
      <c r="G61" s="19">
        <v>45114</v>
      </c>
      <c r="H61">
        <v>31.000484887667699</v>
      </c>
    </row>
    <row r="62" spans="1:8" x14ac:dyDescent="0.25">
      <c r="A62" t="s">
        <v>26</v>
      </c>
      <c r="B62" t="s">
        <v>383</v>
      </c>
      <c r="C62">
        <v>50</v>
      </c>
      <c r="D62">
        <v>211.04</v>
      </c>
      <c r="E62" s="19">
        <v>45588</v>
      </c>
      <c r="F62">
        <v>184.45</v>
      </c>
      <c r="G62" s="19">
        <v>45660</v>
      </c>
      <c r="H62">
        <v>12.59950720242608</v>
      </c>
    </row>
    <row r="63" spans="1:8" x14ac:dyDescent="0.25">
      <c r="A63" t="s">
        <v>26</v>
      </c>
      <c r="B63" t="s">
        <v>385</v>
      </c>
      <c r="C63">
        <v>23</v>
      </c>
      <c r="D63">
        <v>227.15</v>
      </c>
      <c r="E63" s="19">
        <v>45553</v>
      </c>
      <c r="F63">
        <v>215.75</v>
      </c>
      <c r="G63" s="19">
        <v>45586</v>
      </c>
      <c r="H63">
        <v>-5.0187101034558683</v>
      </c>
    </row>
    <row r="64" spans="1:8" x14ac:dyDescent="0.25">
      <c r="A64" t="s">
        <v>26</v>
      </c>
      <c r="B64" t="s">
        <v>383</v>
      </c>
      <c r="C64">
        <v>37</v>
      </c>
      <c r="D64">
        <v>217.65</v>
      </c>
      <c r="E64" s="19">
        <v>45498</v>
      </c>
      <c r="F64">
        <v>226.43</v>
      </c>
      <c r="G64" s="19">
        <v>45551</v>
      </c>
      <c r="H64">
        <v>-4.0339995405467493</v>
      </c>
    </row>
    <row r="65" spans="1:8" x14ac:dyDescent="0.25">
      <c r="A65" t="s">
        <v>26</v>
      </c>
      <c r="B65" t="s">
        <v>385</v>
      </c>
      <c r="C65">
        <v>75</v>
      </c>
      <c r="D65">
        <v>204.2</v>
      </c>
      <c r="E65" s="19">
        <v>45385</v>
      </c>
      <c r="F65">
        <v>215.2</v>
      </c>
      <c r="G65" s="19">
        <v>45496</v>
      </c>
      <c r="H65">
        <v>5.3868756121449559</v>
      </c>
    </row>
    <row r="66" spans="1:8" x14ac:dyDescent="0.25">
      <c r="A66" t="s">
        <v>26</v>
      </c>
      <c r="B66" t="s">
        <v>383</v>
      </c>
      <c r="C66">
        <v>6</v>
      </c>
      <c r="D66">
        <v>173.45</v>
      </c>
      <c r="E66" s="19">
        <v>45372</v>
      </c>
      <c r="F66">
        <v>181.85</v>
      </c>
      <c r="G66" s="19">
        <v>45383</v>
      </c>
      <c r="H66">
        <v>-4.8428942058230078</v>
      </c>
    </row>
    <row r="67" spans="1:8" x14ac:dyDescent="0.25">
      <c r="A67" t="s">
        <v>26</v>
      </c>
      <c r="B67" t="s">
        <v>385</v>
      </c>
      <c r="C67">
        <v>32</v>
      </c>
      <c r="D67">
        <v>178.2</v>
      </c>
      <c r="E67" s="19">
        <v>45327</v>
      </c>
      <c r="F67">
        <v>170</v>
      </c>
      <c r="G67" s="19">
        <v>45370</v>
      </c>
      <c r="H67">
        <v>-4.6015712682379286</v>
      </c>
    </row>
    <row r="68" spans="1:8" x14ac:dyDescent="0.25">
      <c r="A68" t="s">
        <v>26</v>
      </c>
      <c r="B68" t="s">
        <v>383</v>
      </c>
      <c r="C68">
        <v>0</v>
      </c>
      <c r="D68">
        <v>112.45</v>
      </c>
      <c r="E68" s="19">
        <v>44673</v>
      </c>
      <c r="F68">
        <v>166.85</v>
      </c>
      <c r="G68" s="19">
        <v>45323</v>
      </c>
      <c r="H68">
        <v>-48.377056469542012</v>
      </c>
    </row>
    <row r="69" spans="1:8" x14ac:dyDescent="0.25">
      <c r="A69" t="s">
        <v>26</v>
      </c>
      <c r="B69" t="s">
        <v>385</v>
      </c>
      <c r="C69">
        <v>12</v>
      </c>
      <c r="D69">
        <v>179.15</v>
      </c>
      <c r="E69" s="19">
        <v>45306</v>
      </c>
      <c r="F69">
        <v>171.1</v>
      </c>
      <c r="G69" s="19">
        <v>45322</v>
      </c>
      <c r="H69">
        <v>-4.4934412503488756</v>
      </c>
    </row>
    <row r="70" spans="1:8" x14ac:dyDescent="0.25">
      <c r="A70" t="s">
        <v>26</v>
      </c>
      <c r="B70" t="s">
        <v>383</v>
      </c>
      <c r="C70">
        <v>76</v>
      </c>
      <c r="D70">
        <v>175.05</v>
      </c>
      <c r="E70" s="19">
        <v>45191</v>
      </c>
      <c r="F70">
        <v>180.55</v>
      </c>
      <c r="G70" s="19">
        <v>45302</v>
      </c>
      <c r="H70">
        <v>-3.1419594401599542</v>
      </c>
    </row>
    <row r="71" spans="1:8" x14ac:dyDescent="0.25">
      <c r="A71" t="s">
        <v>26</v>
      </c>
      <c r="B71" t="s">
        <v>385</v>
      </c>
      <c r="C71">
        <v>135</v>
      </c>
      <c r="D71">
        <v>154.55000000000001</v>
      </c>
      <c r="E71" s="19">
        <v>44988</v>
      </c>
      <c r="F71">
        <v>180.15</v>
      </c>
      <c r="G71" s="19">
        <v>45189</v>
      </c>
      <c r="H71">
        <v>16.564218699450009</v>
      </c>
    </row>
    <row r="72" spans="1:8" x14ac:dyDescent="0.25">
      <c r="A72" t="s">
        <v>27</v>
      </c>
      <c r="B72" t="s">
        <v>383</v>
      </c>
      <c r="C72">
        <v>46</v>
      </c>
      <c r="D72">
        <v>447.65</v>
      </c>
      <c r="E72" s="19">
        <v>45594</v>
      </c>
      <c r="F72">
        <v>358.5</v>
      </c>
      <c r="G72" s="19">
        <v>45660</v>
      </c>
      <c r="H72">
        <v>19.915112252876131</v>
      </c>
    </row>
    <row r="73" spans="1:8" x14ac:dyDescent="0.25">
      <c r="A73" t="s">
        <v>27</v>
      </c>
      <c r="B73" t="s">
        <v>385</v>
      </c>
      <c r="C73">
        <v>88</v>
      </c>
      <c r="D73">
        <v>386.5</v>
      </c>
      <c r="E73" s="19">
        <v>45464</v>
      </c>
      <c r="F73">
        <v>436.5</v>
      </c>
      <c r="G73" s="19">
        <v>45590</v>
      </c>
      <c r="H73">
        <v>12.9366106080207</v>
      </c>
    </row>
    <row r="74" spans="1:8" x14ac:dyDescent="0.25">
      <c r="A74" t="s">
        <v>27</v>
      </c>
      <c r="B74" t="s">
        <v>383</v>
      </c>
      <c r="C74">
        <v>13</v>
      </c>
      <c r="D74">
        <v>362.8</v>
      </c>
      <c r="E74" s="19">
        <v>45443</v>
      </c>
      <c r="F74">
        <v>379</v>
      </c>
      <c r="G74" s="19">
        <v>45462</v>
      </c>
      <c r="H74">
        <v>-4.4652701212789383</v>
      </c>
    </row>
    <row r="75" spans="1:8" x14ac:dyDescent="0.25">
      <c r="A75" t="s">
        <v>27</v>
      </c>
      <c r="B75" t="s">
        <v>385</v>
      </c>
      <c r="C75">
        <v>23</v>
      </c>
      <c r="D75">
        <v>391.75</v>
      </c>
      <c r="E75" s="19">
        <v>45408</v>
      </c>
      <c r="F75">
        <v>360.55</v>
      </c>
      <c r="G75" s="19">
        <v>45441</v>
      </c>
      <c r="H75">
        <v>-7.9642629227823836</v>
      </c>
    </row>
    <row r="76" spans="1:8" x14ac:dyDescent="0.25">
      <c r="A76" t="s">
        <v>27</v>
      </c>
      <c r="B76" t="s">
        <v>383</v>
      </c>
      <c r="C76">
        <v>26</v>
      </c>
      <c r="D76">
        <v>365</v>
      </c>
      <c r="E76" s="19">
        <v>45365</v>
      </c>
      <c r="F76">
        <v>385.45</v>
      </c>
      <c r="G76" s="19">
        <v>45406</v>
      </c>
      <c r="H76">
        <v>-5.6027397260273943</v>
      </c>
    </row>
    <row r="77" spans="1:8" x14ac:dyDescent="0.25">
      <c r="A77" t="s">
        <v>27</v>
      </c>
      <c r="B77" t="s">
        <v>385</v>
      </c>
      <c r="C77">
        <v>84</v>
      </c>
      <c r="D77">
        <v>331.5</v>
      </c>
      <c r="E77" s="19">
        <v>45242</v>
      </c>
      <c r="F77">
        <v>351.8</v>
      </c>
      <c r="G77" s="19">
        <v>45363</v>
      </c>
      <c r="H77">
        <v>6.1236802413273033</v>
      </c>
    </row>
    <row r="78" spans="1:8" x14ac:dyDescent="0.25">
      <c r="A78" t="s">
        <v>27</v>
      </c>
      <c r="B78" t="s">
        <v>383</v>
      </c>
      <c r="C78">
        <v>9</v>
      </c>
      <c r="D78">
        <v>314.45</v>
      </c>
      <c r="E78" s="19">
        <v>45229</v>
      </c>
      <c r="F78">
        <v>329.25</v>
      </c>
      <c r="G78" s="19">
        <v>45239</v>
      </c>
      <c r="H78">
        <v>-4.7066306249006242</v>
      </c>
    </row>
    <row r="79" spans="1:8" x14ac:dyDescent="0.25">
      <c r="A79" t="s">
        <v>27</v>
      </c>
      <c r="B79" t="s">
        <v>385</v>
      </c>
      <c r="C79">
        <v>119</v>
      </c>
      <c r="D79">
        <v>276.35000000000002</v>
      </c>
      <c r="E79" s="19">
        <v>45054</v>
      </c>
      <c r="F79">
        <v>297.14999999999998</v>
      </c>
      <c r="G79" s="19">
        <v>45225</v>
      </c>
      <c r="H79">
        <v>7.5266871720643946</v>
      </c>
    </row>
    <row r="80" spans="1:8" x14ac:dyDescent="0.25">
      <c r="A80" t="s">
        <v>28</v>
      </c>
      <c r="B80" t="s">
        <v>385</v>
      </c>
      <c r="C80">
        <v>38</v>
      </c>
      <c r="D80">
        <v>1603.65</v>
      </c>
      <c r="E80" s="19">
        <v>45604</v>
      </c>
      <c r="F80">
        <v>1781.25</v>
      </c>
      <c r="G80" s="19">
        <v>45660</v>
      </c>
      <c r="H80">
        <v>11.074735759049659</v>
      </c>
    </row>
    <row r="81" spans="1:8" x14ac:dyDescent="0.25">
      <c r="A81" t="s">
        <v>28</v>
      </c>
      <c r="B81" t="s">
        <v>383</v>
      </c>
      <c r="C81">
        <v>8</v>
      </c>
      <c r="D81">
        <v>1460.4</v>
      </c>
      <c r="E81" s="19">
        <v>45593</v>
      </c>
      <c r="F81">
        <v>1640.05</v>
      </c>
      <c r="G81" s="19">
        <v>45602</v>
      </c>
      <c r="H81">
        <v>-12.301424267324011</v>
      </c>
    </row>
    <row r="82" spans="1:8" x14ac:dyDescent="0.25">
      <c r="A82" t="s">
        <v>28</v>
      </c>
      <c r="B82" t="s">
        <v>385</v>
      </c>
      <c r="C82">
        <v>109</v>
      </c>
      <c r="D82">
        <v>1213.8499999999999</v>
      </c>
      <c r="E82" s="19">
        <v>45433</v>
      </c>
      <c r="F82">
        <v>1474.3</v>
      </c>
      <c r="G82" s="19">
        <v>45589</v>
      </c>
      <c r="H82">
        <v>21.456522634592421</v>
      </c>
    </row>
    <row r="83" spans="1:8" x14ac:dyDescent="0.25">
      <c r="A83" t="s">
        <v>28</v>
      </c>
      <c r="B83" t="s">
        <v>383</v>
      </c>
      <c r="C83">
        <v>64</v>
      </c>
      <c r="D83">
        <v>1136</v>
      </c>
      <c r="E83" s="19">
        <v>45335</v>
      </c>
      <c r="F83">
        <v>1175.25</v>
      </c>
      <c r="G83" s="19">
        <v>45429</v>
      </c>
      <c r="H83">
        <v>-3.455105633802817</v>
      </c>
    </row>
    <row r="84" spans="1:8" x14ac:dyDescent="0.25">
      <c r="A84" t="s">
        <v>28</v>
      </c>
      <c r="B84" t="s">
        <v>385</v>
      </c>
      <c r="C84">
        <v>50</v>
      </c>
      <c r="D84">
        <v>1115.2</v>
      </c>
      <c r="E84" s="19">
        <v>45260</v>
      </c>
      <c r="F84">
        <v>1114.25</v>
      </c>
      <c r="G84" s="19">
        <v>45331</v>
      </c>
      <c r="H84">
        <v>-8.5186513629846264E-2</v>
      </c>
    </row>
    <row r="85" spans="1:8" x14ac:dyDescent="0.25">
      <c r="A85" t="s">
        <v>28</v>
      </c>
      <c r="B85" t="s">
        <v>383</v>
      </c>
      <c r="C85">
        <v>29</v>
      </c>
      <c r="D85">
        <v>1073.5</v>
      </c>
      <c r="E85" s="19">
        <v>45216</v>
      </c>
      <c r="F85">
        <v>1112.55</v>
      </c>
      <c r="G85" s="19">
        <v>45258</v>
      </c>
      <c r="H85">
        <v>-3.6376339077782909</v>
      </c>
    </row>
    <row r="86" spans="1:8" x14ac:dyDescent="0.25">
      <c r="A86" t="s">
        <v>28</v>
      </c>
      <c r="B86" t="s">
        <v>385</v>
      </c>
      <c r="C86">
        <v>88</v>
      </c>
      <c r="D86">
        <v>1001.95</v>
      </c>
      <c r="E86" s="19">
        <v>45085</v>
      </c>
      <c r="F86">
        <v>1077.3</v>
      </c>
      <c r="G86" s="19">
        <v>45212</v>
      </c>
      <c r="H86">
        <v>7.5203353460751439</v>
      </c>
    </row>
    <row r="87" spans="1:8" x14ac:dyDescent="0.25">
      <c r="A87" t="s">
        <v>28</v>
      </c>
      <c r="B87" t="s">
        <v>383</v>
      </c>
      <c r="C87">
        <v>119</v>
      </c>
      <c r="D87">
        <v>1163.6500000000001</v>
      </c>
      <c r="E87" s="19">
        <v>44908</v>
      </c>
      <c r="F87">
        <v>987</v>
      </c>
      <c r="G87" s="19">
        <v>45083</v>
      </c>
      <c r="H87">
        <v>15.180681476388949</v>
      </c>
    </row>
    <row r="88" spans="1:8" x14ac:dyDescent="0.25">
      <c r="A88" t="s">
        <v>29</v>
      </c>
      <c r="B88" t="s">
        <v>385</v>
      </c>
      <c r="C88">
        <v>125</v>
      </c>
      <c r="D88">
        <v>924.55</v>
      </c>
      <c r="E88" s="19">
        <v>45478</v>
      </c>
      <c r="F88">
        <v>1070.05</v>
      </c>
      <c r="G88" s="19">
        <v>45660</v>
      </c>
      <c r="H88">
        <v>15.737385755232269</v>
      </c>
    </row>
    <row r="89" spans="1:8" x14ac:dyDescent="0.25">
      <c r="A89" t="s">
        <v>29</v>
      </c>
      <c r="B89" t="s">
        <v>383</v>
      </c>
      <c r="C89">
        <v>40</v>
      </c>
      <c r="D89">
        <v>713.35</v>
      </c>
      <c r="E89" s="19">
        <v>45420</v>
      </c>
      <c r="F89">
        <v>771.1</v>
      </c>
      <c r="G89" s="19">
        <v>45476</v>
      </c>
      <c r="H89">
        <v>-8.0956052428681584</v>
      </c>
    </row>
    <row r="90" spans="1:8" x14ac:dyDescent="0.25">
      <c r="A90" t="s">
        <v>29</v>
      </c>
      <c r="B90" t="s">
        <v>385</v>
      </c>
      <c r="C90">
        <v>11</v>
      </c>
      <c r="D90">
        <v>830.65</v>
      </c>
      <c r="E90" s="19">
        <v>45401</v>
      </c>
      <c r="F90">
        <v>737.4</v>
      </c>
      <c r="G90" s="19">
        <v>45418</v>
      </c>
      <c r="H90">
        <v>-11.22614819719497</v>
      </c>
    </row>
    <row r="91" spans="1:8" x14ac:dyDescent="0.25">
      <c r="A91" t="s">
        <v>29</v>
      </c>
      <c r="B91" t="s">
        <v>383</v>
      </c>
      <c r="C91">
        <v>21</v>
      </c>
      <c r="D91">
        <v>777.9</v>
      </c>
      <c r="E91" s="19">
        <v>45365</v>
      </c>
      <c r="F91">
        <v>819.4</v>
      </c>
      <c r="G91" s="19">
        <v>45398</v>
      </c>
      <c r="H91">
        <v>-5.3348759480653039</v>
      </c>
    </row>
    <row r="92" spans="1:8" x14ac:dyDescent="0.25">
      <c r="A92" t="s">
        <v>29</v>
      </c>
      <c r="B92" t="s">
        <v>385</v>
      </c>
      <c r="C92">
        <v>4</v>
      </c>
      <c r="D92">
        <v>828.5</v>
      </c>
      <c r="E92" s="19">
        <v>45357</v>
      </c>
      <c r="F92">
        <v>777.95</v>
      </c>
      <c r="G92" s="19">
        <v>45363</v>
      </c>
      <c r="H92">
        <v>-6.1013880506940197</v>
      </c>
    </row>
    <row r="93" spans="1:8" x14ac:dyDescent="0.25">
      <c r="A93" t="s">
        <v>29</v>
      </c>
      <c r="B93" t="s">
        <v>383</v>
      </c>
      <c r="C93">
        <v>53</v>
      </c>
      <c r="D93">
        <v>810.7</v>
      </c>
      <c r="E93" s="19">
        <v>45280</v>
      </c>
      <c r="F93">
        <v>893.2</v>
      </c>
      <c r="G93" s="19">
        <v>45355</v>
      </c>
      <c r="H93">
        <v>-10.1763907734057</v>
      </c>
    </row>
    <row r="94" spans="1:8" x14ac:dyDescent="0.25">
      <c r="A94" t="s">
        <v>29</v>
      </c>
      <c r="B94" t="s">
        <v>385</v>
      </c>
      <c r="C94">
        <v>217</v>
      </c>
      <c r="D94">
        <v>324.64999999999998</v>
      </c>
      <c r="E94" s="19">
        <v>44958</v>
      </c>
      <c r="F94">
        <v>834.05</v>
      </c>
      <c r="G94" s="19">
        <v>45278</v>
      </c>
      <c r="H94">
        <v>156.90743878022491</v>
      </c>
    </row>
    <row r="95" spans="1:8" x14ac:dyDescent="0.25">
      <c r="A95" t="s">
        <v>30</v>
      </c>
      <c r="B95" t="s">
        <v>383</v>
      </c>
      <c r="C95">
        <v>70</v>
      </c>
      <c r="D95">
        <v>4416.3999999999996</v>
      </c>
      <c r="E95" s="19">
        <v>45559</v>
      </c>
      <c r="F95">
        <v>3381.75</v>
      </c>
      <c r="G95" s="19">
        <v>45660</v>
      </c>
      <c r="H95">
        <v>23.427452223530469</v>
      </c>
    </row>
    <row r="96" spans="1:8" x14ac:dyDescent="0.25">
      <c r="A96" t="s">
        <v>30</v>
      </c>
      <c r="B96" t="s">
        <v>385</v>
      </c>
      <c r="C96">
        <v>66</v>
      </c>
      <c r="D96">
        <v>4271.55</v>
      </c>
      <c r="E96" s="19">
        <v>45462</v>
      </c>
      <c r="F96">
        <v>4294.8</v>
      </c>
      <c r="G96" s="19">
        <v>45555</v>
      </c>
      <c r="H96">
        <v>0.54429890789057833</v>
      </c>
    </row>
    <row r="97" spans="1:8" x14ac:dyDescent="0.25">
      <c r="A97" t="s">
        <v>30</v>
      </c>
      <c r="B97" t="s">
        <v>383</v>
      </c>
      <c r="C97">
        <v>27</v>
      </c>
      <c r="D97">
        <v>3786.9</v>
      </c>
      <c r="E97" s="19">
        <v>45421</v>
      </c>
      <c r="F97">
        <v>3976.8</v>
      </c>
      <c r="G97" s="19">
        <v>45457</v>
      </c>
      <c r="H97">
        <v>-5.0146557870553776</v>
      </c>
    </row>
    <row r="98" spans="1:8" x14ac:dyDescent="0.25">
      <c r="A98" t="s">
        <v>30</v>
      </c>
      <c r="B98" t="s">
        <v>385</v>
      </c>
      <c r="C98">
        <v>23</v>
      </c>
      <c r="D98">
        <v>4023.8</v>
      </c>
      <c r="E98" s="19">
        <v>45384</v>
      </c>
      <c r="F98">
        <v>3804.95</v>
      </c>
      <c r="G98" s="19">
        <v>45419</v>
      </c>
      <c r="H98">
        <v>-5.4388886127541216</v>
      </c>
    </row>
    <row r="99" spans="1:8" x14ac:dyDescent="0.25">
      <c r="A99" t="s">
        <v>30</v>
      </c>
      <c r="B99" t="s">
        <v>383</v>
      </c>
      <c r="C99">
        <v>16</v>
      </c>
      <c r="D99">
        <v>3715.2</v>
      </c>
      <c r="E99" s="19">
        <v>45356</v>
      </c>
      <c r="F99">
        <v>3915.25</v>
      </c>
      <c r="G99" s="19">
        <v>45379</v>
      </c>
      <c r="H99">
        <v>-5.3846360895779553</v>
      </c>
    </row>
    <row r="100" spans="1:8" x14ac:dyDescent="0.25">
      <c r="A100" t="s">
        <v>30</v>
      </c>
      <c r="B100" t="s">
        <v>385</v>
      </c>
      <c r="C100">
        <v>84</v>
      </c>
      <c r="D100">
        <v>3764.9</v>
      </c>
      <c r="E100" s="19">
        <v>45233</v>
      </c>
      <c r="F100">
        <v>3713.3</v>
      </c>
      <c r="G100" s="19">
        <v>45353</v>
      </c>
      <c r="H100">
        <v>-1.370554330792316</v>
      </c>
    </row>
    <row r="101" spans="1:8" x14ac:dyDescent="0.25">
      <c r="A101" t="s">
        <v>30</v>
      </c>
      <c r="B101" t="s">
        <v>383</v>
      </c>
      <c r="C101">
        <v>16</v>
      </c>
      <c r="D101">
        <v>3463.05</v>
      </c>
      <c r="E101" s="19">
        <v>45209</v>
      </c>
      <c r="F101">
        <v>3679.35</v>
      </c>
      <c r="G101" s="19">
        <v>45231</v>
      </c>
      <c r="H101">
        <v>-6.2459392731840344</v>
      </c>
    </row>
    <row r="102" spans="1:8" x14ac:dyDescent="0.25">
      <c r="A102" t="s">
        <v>30</v>
      </c>
      <c r="B102" t="s">
        <v>385</v>
      </c>
      <c r="C102">
        <v>95</v>
      </c>
      <c r="D102">
        <v>2925.3</v>
      </c>
      <c r="E102" s="19">
        <v>45069</v>
      </c>
      <c r="F102">
        <v>3440.15</v>
      </c>
      <c r="G102" s="19">
        <v>45205</v>
      </c>
      <c r="H102">
        <v>17.599904283321369</v>
      </c>
    </row>
    <row r="103" spans="1:8" x14ac:dyDescent="0.25">
      <c r="A103" t="s">
        <v>30</v>
      </c>
      <c r="B103" t="s">
        <v>383</v>
      </c>
      <c r="C103">
        <v>8</v>
      </c>
      <c r="D103">
        <v>2708.1</v>
      </c>
      <c r="E103" s="19">
        <v>45056</v>
      </c>
      <c r="F103">
        <v>2824.6</v>
      </c>
      <c r="G103" s="19">
        <v>45065</v>
      </c>
      <c r="H103">
        <v>-4.3019090875521577</v>
      </c>
    </row>
    <row r="104" spans="1:8" x14ac:dyDescent="0.25">
      <c r="A104" t="s">
        <v>31</v>
      </c>
      <c r="B104" t="s">
        <v>383</v>
      </c>
      <c r="C104">
        <v>43</v>
      </c>
      <c r="D104">
        <v>3086.15</v>
      </c>
      <c r="E104" s="19">
        <v>45597</v>
      </c>
      <c r="F104">
        <v>2873.75</v>
      </c>
      <c r="G104" s="19">
        <v>45660</v>
      </c>
      <c r="H104">
        <v>6.8823615183967108</v>
      </c>
    </row>
    <row r="105" spans="1:8" x14ac:dyDescent="0.25">
      <c r="A105" t="s">
        <v>31</v>
      </c>
      <c r="B105" t="s">
        <v>385</v>
      </c>
      <c r="C105">
        <v>66</v>
      </c>
      <c r="D105">
        <v>2418.5500000000002</v>
      </c>
      <c r="E105" s="19">
        <v>45502</v>
      </c>
      <c r="F105">
        <v>2996.65</v>
      </c>
      <c r="G105" s="19">
        <v>45595</v>
      </c>
      <c r="H105">
        <v>23.902751648715139</v>
      </c>
    </row>
    <row r="106" spans="1:8" x14ac:dyDescent="0.25">
      <c r="A106" t="s">
        <v>31</v>
      </c>
      <c r="B106" t="s">
        <v>383</v>
      </c>
      <c r="C106">
        <v>14</v>
      </c>
      <c r="D106">
        <v>2266.6</v>
      </c>
      <c r="E106" s="19">
        <v>45478</v>
      </c>
      <c r="F106">
        <v>2398.85</v>
      </c>
      <c r="G106" s="19">
        <v>45498</v>
      </c>
      <c r="H106">
        <v>-5.834730433248037</v>
      </c>
    </row>
    <row r="107" spans="1:8" x14ac:dyDescent="0.25">
      <c r="A107" t="s">
        <v>31</v>
      </c>
      <c r="B107" t="s">
        <v>385</v>
      </c>
      <c r="C107">
        <v>45</v>
      </c>
      <c r="D107">
        <v>2215.4499999999998</v>
      </c>
      <c r="E107" s="19">
        <v>45412</v>
      </c>
      <c r="F107">
        <v>2241.15</v>
      </c>
      <c r="G107" s="19">
        <v>45476</v>
      </c>
      <c r="H107">
        <v>1.160035207294241</v>
      </c>
    </row>
    <row r="108" spans="1:8" x14ac:dyDescent="0.25">
      <c r="A108" t="s">
        <v>31</v>
      </c>
      <c r="B108" t="s">
        <v>383</v>
      </c>
      <c r="C108">
        <v>5</v>
      </c>
      <c r="D108">
        <v>2091.35</v>
      </c>
      <c r="E108" s="19">
        <v>45404</v>
      </c>
      <c r="F108">
        <v>2193.5</v>
      </c>
      <c r="G108" s="19">
        <v>45408</v>
      </c>
      <c r="H108">
        <v>-4.8844048102900084</v>
      </c>
    </row>
    <row r="109" spans="1:8" x14ac:dyDescent="0.25">
      <c r="A109" t="s">
        <v>31</v>
      </c>
      <c r="B109" t="s">
        <v>385</v>
      </c>
      <c r="C109">
        <v>13</v>
      </c>
      <c r="D109">
        <v>2230.85</v>
      </c>
      <c r="E109" s="19">
        <v>45379</v>
      </c>
      <c r="F109">
        <v>2078.85</v>
      </c>
      <c r="G109" s="19">
        <v>45400</v>
      </c>
      <c r="H109">
        <v>-6.8135464060784008</v>
      </c>
    </row>
    <row r="110" spans="1:8" x14ac:dyDescent="0.25">
      <c r="A110" t="s">
        <v>31</v>
      </c>
      <c r="B110" t="s">
        <v>383</v>
      </c>
      <c r="C110">
        <v>3</v>
      </c>
      <c r="D110">
        <v>2125.9</v>
      </c>
      <c r="E110" s="19">
        <v>45372</v>
      </c>
      <c r="F110">
        <v>2223.0500000000002</v>
      </c>
      <c r="G110" s="19">
        <v>45377</v>
      </c>
      <c r="H110">
        <v>-4.5698292487887526</v>
      </c>
    </row>
    <row r="111" spans="1:8" x14ac:dyDescent="0.25">
      <c r="A111" t="s">
        <v>31</v>
      </c>
      <c r="B111" t="s">
        <v>385</v>
      </c>
      <c r="C111">
        <v>239</v>
      </c>
      <c r="D111">
        <v>1263.1500000000001</v>
      </c>
      <c r="E111" s="19">
        <v>45021</v>
      </c>
      <c r="F111">
        <v>2109.35</v>
      </c>
      <c r="G111" s="19">
        <v>45370</v>
      </c>
      <c r="H111">
        <v>66.991252028658494</v>
      </c>
    </row>
    <row r="112" spans="1:8" x14ac:dyDescent="0.25">
      <c r="A112" t="s">
        <v>32</v>
      </c>
      <c r="B112" t="s">
        <v>385</v>
      </c>
      <c r="C112">
        <v>54</v>
      </c>
      <c r="D112">
        <v>804.85</v>
      </c>
      <c r="E112" s="19">
        <v>45582</v>
      </c>
      <c r="F112">
        <v>1117.05</v>
      </c>
      <c r="G112" s="19">
        <v>45660</v>
      </c>
      <c r="H112">
        <v>38.789836615518411</v>
      </c>
    </row>
    <row r="113" spans="1:8" x14ac:dyDescent="0.25">
      <c r="A113" t="s">
        <v>32</v>
      </c>
      <c r="B113" t="s">
        <v>383</v>
      </c>
      <c r="C113">
        <v>47</v>
      </c>
      <c r="D113">
        <v>705.5</v>
      </c>
      <c r="E113" s="19">
        <v>45512</v>
      </c>
      <c r="F113">
        <v>779.25</v>
      </c>
      <c r="G113" s="19">
        <v>45580</v>
      </c>
      <c r="H113">
        <v>-10.45357902197023</v>
      </c>
    </row>
    <row r="114" spans="1:8" x14ac:dyDescent="0.25">
      <c r="A114" t="s">
        <v>32</v>
      </c>
      <c r="B114" t="s">
        <v>385</v>
      </c>
      <c r="C114">
        <v>16</v>
      </c>
      <c r="D114">
        <v>743.15</v>
      </c>
      <c r="E114" s="19">
        <v>45488</v>
      </c>
      <c r="F114">
        <v>688.8</v>
      </c>
      <c r="G114" s="19">
        <v>45510</v>
      </c>
      <c r="H114">
        <v>-7.3134629617170184</v>
      </c>
    </row>
    <row r="115" spans="1:8" x14ac:dyDescent="0.25">
      <c r="A115" t="s">
        <v>32</v>
      </c>
      <c r="B115" t="s">
        <v>383</v>
      </c>
      <c r="C115">
        <v>31</v>
      </c>
      <c r="D115">
        <v>661.95</v>
      </c>
      <c r="E115" s="19">
        <v>45441</v>
      </c>
      <c r="F115">
        <v>752.15</v>
      </c>
      <c r="G115" s="19">
        <v>45484</v>
      </c>
      <c r="H115">
        <v>-13.62640682831028</v>
      </c>
    </row>
    <row r="116" spans="1:8" x14ac:dyDescent="0.25">
      <c r="A116" t="s">
        <v>32</v>
      </c>
      <c r="B116" t="s">
        <v>385</v>
      </c>
      <c r="C116">
        <v>157</v>
      </c>
      <c r="D116">
        <v>373</v>
      </c>
      <c r="E116" s="19">
        <v>45208</v>
      </c>
      <c r="F116">
        <v>694.6</v>
      </c>
      <c r="G116" s="19">
        <v>45439</v>
      </c>
      <c r="H116">
        <v>86.219839142091161</v>
      </c>
    </row>
    <row r="117" spans="1:8" x14ac:dyDescent="0.25">
      <c r="A117" t="s">
        <v>32</v>
      </c>
      <c r="B117" t="s">
        <v>383</v>
      </c>
      <c r="C117">
        <v>5</v>
      </c>
      <c r="D117">
        <v>358.75</v>
      </c>
      <c r="E117" s="19">
        <v>45197</v>
      </c>
      <c r="F117">
        <v>373.5</v>
      </c>
      <c r="G117" s="19">
        <v>45204</v>
      </c>
      <c r="H117">
        <v>-4.1114982578397212</v>
      </c>
    </row>
    <row r="118" spans="1:8" x14ac:dyDescent="0.25">
      <c r="A118" t="s">
        <v>32</v>
      </c>
      <c r="B118" t="s">
        <v>385</v>
      </c>
      <c r="C118">
        <v>12</v>
      </c>
      <c r="D118">
        <v>390.15</v>
      </c>
      <c r="E118" s="19">
        <v>45177</v>
      </c>
      <c r="F118">
        <v>355.8</v>
      </c>
      <c r="G118" s="19">
        <v>45195</v>
      </c>
      <c r="H118">
        <v>-8.8043060361399377</v>
      </c>
    </row>
    <row r="119" spans="1:8" x14ac:dyDescent="0.25">
      <c r="A119" t="s">
        <v>32</v>
      </c>
      <c r="B119" t="s">
        <v>383</v>
      </c>
      <c r="C119">
        <v>7</v>
      </c>
      <c r="D119">
        <v>346.2</v>
      </c>
      <c r="E119" s="19">
        <v>45167</v>
      </c>
      <c r="F119">
        <v>373.8</v>
      </c>
      <c r="G119" s="19">
        <v>45175</v>
      </c>
      <c r="H119">
        <v>-7.9722703639514796</v>
      </c>
    </row>
    <row r="120" spans="1:8" x14ac:dyDescent="0.25">
      <c r="A120" t="s">
        <v>32</v>
      </c>
      <c r="B120" t="s">
        <v>385</v>
      </c>
      <c r="C120">
        <v>95</v>
      </c>
      <c r="D120">
        <v>307</v>
      </c>
      <c r="E120" s="19">
        <v>45027</v>
      </c>
      <c r="F120">
        <v>343</v>
      </c>
      <c r="G120" s="19">
        <v>45163</v>
      </c>
      <c r="H120">
        <v>11.72638436482085</v>
      </c>
    </row>
    <row r="121" spans="1:8" x14ac:dyDescent="0.25">
      <c r="A121" t="s">
        <v>33</v>
      </c>
      <c r="B121" t="s">
        <v>383</v>
      </c>
      <c r="C121">
        <v>25</v>
      </c>
      <c r="D121">
        <v>3707.2</v>
      </c>
      <c r="E121" s="19">
        <v>45625</v>
      </c>
      <c r="F121">
        <v>3500.05</v>
      </c>
      <c r="G121" s="19">
        <v>45660</v>
      </c>
      <c r="H121">
        <v>5.5877751402675777</v>
      </c>
    </row>
    <row r="122" spans="1:8" x14ac:dyDescent="0.25">
      <c r="A122" t="s">
        <v>33</v>
      </c>
      <c r="B122" t="s">
        <v>385</v>
      </c>
      <c r="C122">
        <v>132</v>
      </c>
      <c r="D122">
        <v>2616.15</v>
      </c>
      <c r="E122" s="19">
        <v>45430</v>
      </c>
      <c r="F122">
        <v>3732.4</v>
      </c>
      <c r="G122" s="19">
        <v>45623</v>
      </c>
      <c r="H122">
        <v>42.667660493473228</v>
      </c>
    </row>
    <row r="123" spans="1:8" x14ac:dyDescent="0.25">
      <c r="A123" t="s">
        <v>33</v>
      </c>
      <c r="B123" t="s">
        <v>383</v>
      </c>
      <c r="C123">
        <v>47</v>
      </c>
      <c r="D123">
        <v>2452.8000000000002</v>
      </c>
      <c r="E123" s="19">
        <v>45356</v>
      </c>
      <c r="F123">
        <v>2558.75</v>
      </c>
      <c r="G123" s="19">
        <v>45428</v>
      </c>
      <c r="H123">
        <v>-4.3195531637312374</v>
      </c>
    </row>
    <row r="124" spans="1:8" x14ac:dyDescent="0.25">
      <c r="A124" t="s">
        <v>33</v>
      </c>
      <c r="B124" t="s">
        <v>385</v>
      </c>
      <c r="C124">
        <v>55</v>
      </c>
      <c r="D124">
        <v>2540.1</v>
      </c>
      <c r="E124" s="19">
        <v>45275</v>
      </c>
      <c r="F124">
        <v>2522.65</v>
      </c>
      <c r="G124" s="19">
        <v>45353</v>
      </c>
      <c r="H124">
        <v>-0.68698082752646827</v>
      </c>
    </row>
    <row r="125" spans="1:8" x14ac:dyDescent="0.25">
      <c r="A125" t="s">
        <v>33</v>
      </c>
      <c r="B125" t="s">
        <v>383</v>
      </c>
      <c r="C125">
        <v>57</v>
      </c>
      <c r="D125">
        <v>2530</v>
      </c>
      <c r="E125" s="19">
        <v>45190</v>
      </c>
      <c r="F125">
        <v>2510</v>
      </c>
      <c r="G125" s="19">
        <v>45273</v>
      </c>
      <c r="H125">
        <v>0.79051383399209485</v>
      </c>
    </row>
    <row r="126" spans="1:8" x14ac:dyDescent="0.25">
      <c r="A126" t="s">
        <v>33</v>
      </c>
      <c r="B126" t="s">
        <v>385</v>
      </c>
      <c r="C126">
        <v>128</v>
      </c>
      <c r="D126">
        <v>2295.6</v>
      </c>
      <c r="E126" s="19">
        <v>44999</v>
      </c>
      <c r="F126">
        <v>2598</v>
      </c>
      <c r="G126" s="19">
        <v>45187</v>
      </c>
      <c r="H126">
        <v>13.173026659696809</v>
      </c>
    </row>
    <row r="127" spans="1:8" x14ac:dyDescent="0.25">
      <c r="A127" t="s">
        <v>34</v>
      </c>
      <c r="B127" t="s">
        <v>385</v>
      </c>
      <c r="C127">
        <v>16</v>
      </c>
      <c r="D127">
        <v>147.97999999999999</v>
      </c>
      <c r="E127" s="19">
        <v>45638</v>
      </c>
      <c r="F127">
        <v>136.22</v>
      </c>
      <c r="G127" s="19">
        <v>45660</v>
      </c>
      <c r="H127">
        <v>-7.9470198675496633</v>
      </c>
    </row>
    <row r="128" spans="1:8" x14ac:dyDescent="0.25">
      <c r="A128" t="s">
        <v>34</v>
      </c>
      <c r="B128" t="s">
        <v>383</v>
      </c>
      <c r="C128">
        <v>44</v>
      </c>
      <c r="D128">
        <v>137.88999999999999</v>
      </c>
      <c r="E128" s="19">
        <v>45573</v>
      </c>
      <c r="F128">
        <v>138</v>
      </c>
      <c r="G128" s="19">
        <v>45636</v>
      </c>
      <c r="H128">
        <v>-7.9773732685483836E-2</v>
      </c>
    </row>
    <row r="129" spans="1:8" x14ac:dyDescent="0.25">
      <c r="A129" t="s">
        <v>34</v>
      </c>
      <c r="B129" t="s">
        <v>385</v>
      </c>
      <c r="C129">
        <v>98</v>
      </c>
      <c r="D129">
        <v>99.2</v>
      </c>
      <c r="E129" s="19">
        <v>45428</v>
      </c>
      <c r="F129">
        <v>140.79</v>
      </c>
      <c r="G129" s="19">
        <v>45569</v>
      </c>
      <c r="H129">
        <v>41.925403225806441</v>
      </c>
    </row>
    <row r="130" spans="1:8" x14ac:dyDescent="0.25">
      <c r="A130" t="s">
        <v>34</v>
      </c>
      <c r="B130" t="s">
        <v>383</v>
      </c>
      <c r="C130">
        <v>4</v>
      </c>
      <c r="D130">
        <v>86.35</v>
      </c>
      <c r="E130" s="19">
        <v>45421</v>
      </c>
      <c r="F130">
        <v>100.35</v>
      </c>
      <c r="G130" s="19">
        <v>45426</v>
      </c>
      <c r="H130">
        <v>-16.21308627678054</v>
      </c>
    </row>
    <row r="131" spans="1:8" x14ac:dyDescent="0.25">
      <c r="A131" t="s">
        <v>34</v>
      </c>
      <c r="B131" t="s">
        <v>385</v>
      </c>
      <c r="C131">
        <v>8</v>
      </c>
      <c r="D131">
        <v>94.75</v>
      </c>
      <c r="E131" s="19">
        <v>45407</v>
      </c>
      <c r="F131">
        <v>88.25</v>
      </c>
      <c r="G131" s="19">
        <v>45419</v>
      </c>
      <c r="H131">
        <v>-6.8601583113456464</v>
      </c>
    </row>
    <row r="132" spans="1:8" x14ac:dyDescent="0.25">
      <c r="A132" t="s">
        <v>34</v>
      </c>
      <c r="B132" t="s">
        <v>383</v>
      </c>
      <c r="C132">
        <v>25</v>
      </c>
      <c r="D132">
        <v>83.7</v>
      </c>
      <c r="E132" s="19">
        <v>45365</v>
      </c>
      <c r="F132">
        <v>93.8</v>
      </c>
      <c r="G132" s="19">
        <v>45405</v>
      </c>
      <c r="H132">
        <v>-12.066905615292701</v>
      </c>
    </row>
    <row r="133" spans="1:8" x14ac:dyDescent="0.25">
      <c r="A133" t="s">
        <v>34</v>
      </c>
      <c r="B133" t="s">
        <v>385</v>
      </c>
      <c r="C133">
        <v>101</v>
      </c>
      <c r="D133">
        <v>83.75</v>
      </c>
      <c r="E133" s="19">
        <v>45217</v>
      </c>
      <c r="F133">
        <v>87.6</v>
      </c>
      <c r="G133" s="19">
        <v>45363</v>
      </c>
      <c r="H133">
        <v>4.5970149253731272</v>
      </c>
    </row>
    <row r="134" spans="1:8" x14ac:dyDescent="0.25">
      <c r="A134" t="s">
        <v>34</v>
      </c>
      <c r="B134" t="s">
        <v>383</v>
      </c>
      <c r="C134">
        <v>7</v>
      </c>
      <c r="D134">
        <v>77</v>
      </c>
      <c r="E134" s="19">
        <v>45205</v>
      </c>
      <c r="F134">
        <v>83.3</v>
      </c>
      <c r="G134" s="19">
        <v>45215</v>
      </c>
      <c r="H134">
        <v>-8.1818181818181781</v>
      </c>
    </row>
    <row r="135" spans="1:8" x14ac:dyDescent="0.25">
      <c r="A135" t="s">
        <v>34</v>
      </c>
      <c r="B135" t="s">
        <v>385</v>
      </c>
      <c r="C135">
        <v>100</v>
      </c>
      <c r="D135">
        <v>64.55</v>
      </c>
      <c r="E135" s="19">
        <v>45058</v>
      </c>
      <c r="F135">
        <v>77.05</v>
      </c>
      <c r="G135" s="19">
        <v>45203</v>
      </c>
      <c r="H135">
        <v>19.36483346243222</v>
      </c>
    </row>
    <row r="136" spans="1:8" x14ac:dyDescent="0.25">
      <c r="A136" t="s">
        <v>35</v>
      </c>
      <c r="B136" t="s">
        <v>383</v>
      </c>
      <c r="C136">
        <v>41</v>
      </c>
      <c r="D136">
        <v>5670.35</v>
      </c>
      <c r="E136" s="19">
        <v>45601</v>
      </c>
      <c r="F136">
        <v>5502.65</v>
      </c>
      <c r="G136" s="19">
        <v>45660</v>
      </c>
      <c r="H136">
        <v>2.9574893965981062</v>
      </c>
    </row>
    <row r="137" spans="1:8" x14ac:dyDescent="0.25">
      <c r="A137" t="s">
        <v>35</v>
      </c>
      <c r="B137" t="s">
        <v>385</v>
      </c>
      <c r="C137">
        <v>80</v>
      </c>
      <c r="D137">
        <v>5225.8</v>
      </c>
      <c r="E137" s="19">
        <v>45483</v>
      </c>
      <c r="F137">
        <v>5805.25</v>
      </c>
      <c r="G137" s="19">
        <v>45597</v>
      </c>
      <c r="H137">
        <v>11.08825442994374</v>
      </c>
    </row>
    <row r="138" spans="1:8" x14ac:dyDescent="0.25">
      <c r="A138" t="s">
        <v>35</v>
      </c>
      <c r="B138" t="s">
        <v>383</v>
      </c>
      <c r="C138">
        <v>6</v>
      </c>
      <c r="D138">
        <v>4958.6000000000004</v>
      </c>
      <c r="E138" s="19">
        <v>45474</v>
      </c>
      <c r="F138">
        <v>5221.8500000000004</v>
      </c>
      <c r="G138" s="19">
        <v>45481</v>
      </c>
      <c r="H138">
        <v>-5.3089581736780538</v>
      </c>
    </row>
    <row r="139" spans="1:8" x14ac:dyDescent="0.25">
      <c r="A139" t="s">
        <v>35</v>
      </c>
      <c r="B139" t="s">
        <v>385</v>
      </c>
      <c r="C139">
        <v>6</v>
      </c>
      <c r="D139">
        <v>5158.3500000000004</v>
      </c>
      <c r="E139" s="19">
        <v>45463</v>
      </c>
      <c r="F139">
        <v>4923.6000000000004</v>
      </c>
      <c r="G139" s="19">
        <v>45470</v>
      </c>
      <c r="H139">
        <v>-4.5508738259327108</v>
      </c>
    </row>
    <row r="140" spans="1:8" x14ac:dyDescent="0.25">
      <c r="A140" t="s">
        <v>35</v>
      </c>
      <c r="B140" t="s">
        <v>383</v>
      </c>
      <c r="C140">
        <v>6</v>
      </c>
      <c r="D140">
        <v>5031.1499999999996</v>
      </c>
      <c r="E140" s="19">
        <v>45453</v>
      </c>
      <c r="F140">
        <v>5218.05</v>
      </c>
      <c r="G140" s="19">
        <v>45461</v>
      </c>
      <c r="H140">
        <v>-3.7148564443517</v>
      </c>
    </row>
    <row r="141" spans="1:8" x14ac:dyDescent="0.25">
      <c r="A141" t="s">
        <v>35</v>
      </c>
      <c r="B141" t="s">
        <v>385</v>
      </c>
      <c r="C141">
        <v>19</v>
      </c>
      <c r="D141">
        <v>5210.45</v>
      </c>
      <c r="E141" s="19">
        <v>45425</v>
      </c>
      <c r="F141">
        <v>4854.6000000000004</v>
      </c>
      <c r="G141" s="19">
        <v>45449</v>
      </c>
      <c r="H141">
        <v>-6.8295444731261119</v>
      </c>
    </row>
    <row r="142" spans="1:8" x14ac:dyDescent="0.25">
      <c r="A142" t="s">
        <v>35</v>
      </c>
      <c r="B142" t="s">
        <v>383</v>
      </c>
      <c r="C142">
        <v>31</v>
      </c>
      <c r="D142">
        <v>4795.95</v>
      </c>
      <c r="E142" s="19">
        <v>45372</v>
      </c>
      <c r="F142">
        <v>5067.6000000000004</v>
      </c>
      <c r="G142" s="19">
        <v>45421</v>
      </c>
      <c r="H142">
        <v>-5.6641541300472387</v>
      </c>
    </row>
    <row r="143" spans="1:8" x14ac:dyDescent="0.25">
      <c r="A143" t="s">
        <v>35</v>
      </c>
      <c r="B143" t="s">
        <v>385</v>
      </c>
      <c r="C143">
        <v>95</v>
      </c>
      <c r="D143">
        <v>3808.95</v>
      </c>
      <c r="E143" s="19">
        <v>45233</v>
      </c>
      <c r="F143">
        <v>4871.8</v>
      </c>
      <c r="G143" s="19">
        <v>45370</v>
      </c>
      <c r="H143">
        <v>27.904015542341082</v>
      </c>
    </row>
    <row r="144" spans="1:8" x14ac:dyDescent="0.25">
      <c r="A144" t="s">
        <v>35</v>
      </c>
      <c r="B144" t="s">
        <v>383</v>
      </c>
      <c r="C144">
        <v>35</v>
      </c>
      <c r="D144">
        <v>3630</v>
      </c>
      <c r="E144" s="19">
        <v>45180</v>
      </c>
      <c r="F144">
        <v>3717.65</v>
      </c>
      <c r="G144" s="19">
        <v>45231</v>
      </c>
      <c r="H144">
        <v>-2.4146005509641899</v>
      </c>
    </row>
    <row r="145" spans="1:8" x14ac:dyDescent="0.25">
      <c r="A145" t="s">
        <v>35</v>
      </c>
      <c r="B145" t="s">
        <v>385</v>
      </c>
      <c r="C145">
        <v>142</v>
      </c>
      <c r="D145">
        <v>3292.7</v>
      </c>
      <c r="E145" s="19">
        <v>44967</v>
      </c>
      <c r="F145">
        <v>3637.1</v>
      </c>
      <c r="G145" s="19">
        <v>45176</v>
      </c>
      <c r="H145">
        <v>10.459501321104259</v>
      </c>
    </row>
    <row r="146" spans="1:8" x14ac:dyDescent="0.25">
      <c r="A146" t="s">
        <v>36</v>
      </c>
      <c r="B146" t="s">
        <v>383</v>
      </c>
      <c r="C146">
        <v>80</v>
      </c>
      <c r="D146">
        <v>1424.3</v>
      </c>
      <c r="E146" s="19">
        <v>45545</v>
      </c>
      <c r="F146">
        <v>1189.9000000000001</v>
      </c>
      <c r="G146" s="19">
        <v>45660</v>
      </c>
      <c r="H146">
        <v>16.457207049076729</v>
      </c>
    </row>
    <row r="147" spans="1:8" x14ac:dyDescent="0.25">
      <c r="A147" t="s">
        <v>36</v>
      </c>
      <c r="B147" t="s">
        <v>385</v>
      </c>
      <c r="C147">
        <v>101</v>
      </c>
      <c r="D147">
        <v>891.35</v>
      </c>
      <c r="E147" s="19">
        <v>45394</v>
      </c>
      <c r="F147">
        <v>1417.65</v>
      </c>
      <c r="G147" s="19">
        <v>45541</v>
      </c>
      <c r="H147">
        <v>59.045268413081288</v>
      </c>
    </row>
    <row r="148" spans="1:8" x14ac:dyDescent="0.25">
      <c r="A148" t="s">
        <v>36</v>
      </c>
      <c r="B148" t="s">
        <v>383</v>
      </c>
      <c r="C148">
        <v>12</v>
      </c>
      <c r="D148">
        <v>756.15</v>
      </c>
      <c r="E148" s="19">
        <v>45372</v>
      </c>
      <c r="F148">
        <v>897.5</v>
      </c>
      <c r="G148" s="19">
        <v>45391</v>
      </c>
      <c r="H148">
        <v>-18.69338094293461</v>
      </c>
    </row>
    <row r="149" spans="1:8" x14ac:dyDescent="0.25">
      <c r="A149" t="s">
        <v>36</v>
      </c>
      <c r="B149" t="s">
        <v>385</v>
      </c>
      <c r="C149">
        <v>82</v>
      </c>
      <c r="D149">
        <v>650.79999999999995</v>
      </c>
      <c r="E149" s="19">
        <v>45252</v>
      </c>
      <c r="F149">
        <v>770.55</v>
      </c>
      <c r="G149" s="19">
        <v>45370</v>
      </c>
      <c r="H149">
        <v>18.400430239704981</v>
      </c>
    </row>
    <row r="150" spans="1:8" x14ac:dyDescent="0.25">
      <c r="A150" t="s">
        <v>36</v>
      </c>
      <c r="B150" t="s">
        <v>383</v>
      </c>
      <c r="C150">
        <v>19</v>
      </c>
      <c r="D150">
        <v>610.70000000000005</v>
      </c>
      <c r="E150" s="19">
        <v>45224</v>
      </c>
      <c r="F150">
        <v>640.75</v>
      </c>
      <c r="G150" s="19">
        <v>45250</v>
      </c>
      <c r="H150">
        <v>-4.9205829376125676</v>
      </c>
    </row>
    <row r="151" spans="1:8" x14ac:dyDescent="0.25">
      <c r="A151" t="s">
        <v>36</v>
      </c>
      <c r="B151" t="s">
        <v>385</v>
      </c>
      <c r="C151">
        <v>29</v>
      </c>
      <c r="D151">
        <v>656.2</v>
      </c>
      <c r="E151" s="19">
        <v>45177</v>
      </c>
      <c r="F151">
        <v>628.04999999999995</v>
      </c>
      <c r="G151" s="19">
        <v>45219</v>
      </c>
      <c r="H151">
        <v>-4.2898506552880358</v>
      </c>
    </row>
    <row r="152" spans="1:8" x14ac:dyDescent="0.25">
      <c r="A152" t="s">
        <v>36</v>
      </c>
      <c r="B152" t="s">
        <v>383</v>
      </c>
      <c r="C152">
        <v>22</v>
      </c>
      <c r="D152">
        <v>626</v>
      </c>
      <c r="E152" s="19">
        <v>45145</v>
      </c>
      <c r="F152">
        <v>656.35</v>
      </c>
      <c r="G152" s="19">
        <v>45175</v>
      </c>
      <c r="H152">
        <v>-4.848242811501601</v>
      </c>
    </row>
    <row r="153" spans="1:8" x14ac:dyDescent="0.25">
      <c r="A153" t="s">
        <v>36</v>
      </c>
      <c r="B153" t="s">
        <v>385</v>
      </c>
      <c r="C153">
        <v>74</v>
      </c>
      <c r="D153">
        <v>600.45000000000005</v>
      </c>
      <c r="E153" s="19">
        <v>45036</v>
      </c>
      <c r="F153">
        <v>624.5</v>
      </c>
      <c r="G153" s="19">
        <v>45141</v>
      </c>
      <c r="H153">
        <v>4.0053293363310774</v>
      </c>
    </row>
    <row r="154" spans="1:8" x14ac:dyDescent="0.25">
      <c r="A154" t="s">
        <v>37</v>
      </c>
      <c r="B154" t="s">
        <v>383</v>
      </c>
      <c r="C154">
        <v>99</v>
      </c>
      <c r="D154">
        <v>624.4</v>
      </c>
      <c r="E154" s="19">
        <v>45517</v>
      </c>
      <c r="F154">
        <v>548.70000000000005</v>
      </c>
      <c r="G154" s="19">
        <v>45660</v>
      </c>
      <c r="H154">
        <v>12.123638693145409</v>
      </c>
    </row>
    <row r="155" spans="1:8" x14ac:dyDescent="0.25">
      <c r="A155" t="s">
        <v>37</v>
      </c>
      <c r="B155" t="s">
        <v>385</v>
      </c>
      <c r="C155">
        <v>170</v>
      </c>
      <c r="D155">
        <v>509.05</v>
      </c>
      <c r="E155" s="19">
        <v>45265</v>
      </c>
      <c r="F155">
        <v>632</v>
      </c>
      <c r="G155" s="19">
        <v>45513</v>
      </c>
      <c r="H155">
        <v>24.152833709851681</v>
      </c>
    </row>
    <row r="156" spans="1:8" x14ac:dyDescent="0.25">
      <c r="A156" t="s">
        <v>37</v>
      </c>
      <c r="B156" t="s">
        <v>383</v>
      </c>
      <c r="C156">
        <v>49</v>
      </c>
      <c r="D156">
        <v>426.1</v>
      </c>
      <c r="E156" s="19">
        <v>45190</v>
      </c>
      <c r="F156">
        <v>442</v>
      </c>
      <c r="G156" s="19">
        <v>45261</v>
      </c>
      <c r="H156">
        <v>-3.7315184229054159</v>
      </c>
    </row>
    <row r="157" spans="1:8" x14ac:dyDescent="0.25">
      <c r="A157" t="s">
        <v>37</v>
      </c>
      <c r="B157" t="s">
        <v>385</v>
      </c>
      <c r="C157">
        <v>36</v>
      </c>
      <c r="D157">
        <v>454</v>
      </c>
      <c r="E157" s="19">
        <v>45135</v>
      </c>
      <c r="F157">
        <v>436.65</v>
      </c>
      <c r="G157" s="19">
        <v>45187</v>
      </c>
      <c r="H157">
        <v>-3.8215859030837049</v>
      </c>
    </row>
    <row r="158" spans="1:8" x14ac:dyDescent="0.25">
      <c r="A158" t="s">
        <v>37</v>
      </c>
      <c r="B158" t="s">
        <v>383</v>
      </c>
      <c r="C158">
        <v>4</v>
      </c>
      <c r="D158">
        <v>416.2</v>
      </c>
      <c r="E158" s="19">
        <v>45128</v>
      </c>
      <c r="F158">
        <v>444.5</v>
      </c>
      <c r="G158" s="19">
        <v>45133</v>
      </c>
      <c r="H158">
        <v>-6.7996155694377736</v>
      </c>
    </row>
    <row r="159" spans="1:8" x14ac:dyDescent="0.25">
      <c r="A159" t="s">
        <v>37</v>
      </c>
      <c r="B159" t="s">
        <v>385</v>
      </c>
      <c r="C159">
        <v>50</v>
      </c>
      <c r="D159">
        <v>408.3</v>
      </c>
      <c r="E159" s="19">
        <v>45056</v>
      </c>
      <c r="F159">
        <v>419.35</v>
      </c>
      <c r="G159" s="19">
        <v>45126</v>
      </c>
      <c r="H159">
        <v>2.7063433749693879</v>
      </c>
    </row>
    <row r="160" spans="1:8" x14ac:dyDescent="0.25">
      <c r="A160" t="s">
        <v>38</v>
      </c>
      <c r="B160" t="s">
        <v>383</v>
      </c>
      <c r="C160">
        <v>33</v>
      </c>
      <c r="D160">
        <v>612.95000000000005</v>
      </c>
      <c r="E160" s="19">
        <v>45614</v>
      </c>
      <c r="F160">
        <v>635.5</v>
      </c>
      <c r="G160" s="19">
        <v>45660</v>
      </c>
      <c r="H160">
        <v>-3.6789297658862798</v>
      </c>
    </row>
    <row r="161" spans="1:8" x14ac:dyDescent="0.25">
      <c r="A161" t="s">
        <v>38</v>
      </c>
      <c r="B161" t="s">
        <v>385</v>
      </c>
      <c r="C161">
        <v>95</v>
      </c>
      <c r="D161">
        <v>538.65</v>
      </c>
      <c r="E161" s="19">
        <v>45474</v>
      </c>
      <c r="F161">
        <v>616.95000000000005</v>
      </c>
      <c r="G161" s="19">
        <v>45609</v>
      </c>
      <c r="H161">
        <v>14.536340852130341</v>
      </c>
    </row>
    <row r="162" spans="1:8" x14ac:dyDescent="0.25">
      <c r="A162" t="s">
        <v>38</v>
      </c>
      <c r="B162" t="s">
        <v>383</v>
      </c>
      <c r="C162">
        <v>34</v>
      </c>
      <c r="D162">
        <v>470.25</v>
      </c>
      <c r="E162" s="19">
        <v>45422</v>
      </c>
      <c r="F162">
        <v>512.04999999999995</v>
      </c>
      <c r="G162" s="19">
        <v>45470</v>
      </c>
      <c r="H162">
        <v>-8.8888888888888786</v>
      </c>
    </row>
    <row r="163" spans="1:8" x14ac:dyDescent="0.25">
      <c r="A163" t="s">
        <v>38</v>
      </c>
      <c r="B163" t="s">
        <v>385</v>
      </c>
      <c r="C163">
        <v>17</v>
      </c>
      <c r="D163">
        <v>505.8</v>
      </c>
      <c r="E163" s="19">
        <v>45394</v>
      </c>
      <c r="F163">
        <v>484.35</v>
      </c>
      <c r="G163" s="19">
        <v>45420</v>
      </c>
      <c r="H163">
        <v>-4.2408066429418714</v>
      </c>
    </row>
    <row r="164" spans="1:8" x14ac:dyDescent="0.25">
      <c r="A164" t="s">
        <v>38</v>
      </c>
      <c r="B164" t="s">
        <v>383</v>
      </c>
      <c r="C164">
        <v>18</v>
      </c>
      <c r="D164">
        <v>444.2</v>
      </c>
      <c r="E164" s="19">
        <v>45364</v>
      </c>
      <c r="F164">
        <v>524.95000000000005</v>
      </c>
      <c r="G164" s="19">
        <v>45391</v>
      </c>
      <c r="H164">
        <v>-18.178748311571379</v>
      </c>
    </row>
    <row r="165" spans="1:8" x14ac:dyDescent="0.25">
      <c r="A165" t="s">
        <v>38</v>
      </c>
      <c r="B165" t="s">
        <v>385</v>
      </c>
      <c r="C165">
        <v>178</v>
      </c>
      <c r="D165">
        <v>337.2</v>
      </c>
      <c r="E165" s="19">
        <v>45103</v>
      </c>
      <c r="F165">
        <v>466.9</v>
      </c>
      <c r="G165" s="19">
        <v>45362</v>
      </c>
      <c r="H165">
        <v>38.463819691577697</v>
      </c>
    </row>
    <row r="166" spans="1:8" x14ac:dyDescent="0.25">
      <c r="A166" t="s">
        <v>38</v>
      </c>
      <c r="B166" t="s">
        <v>383</v>
      </c>
      <c r="C166">
        <v>17</v>
      </c>
      <c r="D166">
        <v>249.05</v>
      </c>
      <c r="E166" s="19">
        <v>45077</v>
      </c>
      <c r="F166">
        <v>284.2</v>
      </c>
      <c r="G166" s="19">
        <v>45099</v>
      </c>
      <c r="H166">
        <v>-14.113631800843191</v>
      </c>
    </row>
    <row r="167" spans="1:8" x14ac:dyDescent="0.25">
      <c r="A167" t="s">
        <v>38</v>
      </c>
      <c r="B167" t="s">
        <v>385</v>
      </c>
      <c r="C167">
        <v>12</v>
      </c>
      <c r="D167">
        <v>275.95</v>
      </c>
      <c r="E167" s="19">
        <v>45058</v>
      </c>
      <c r="F167">
        <v>251.4</v>
      </c>
      <c r="G167" s="19">
        <v>45075</v>
      </c>
      <c r="H167">
        <v>-8.8965392281210303</v>
      </c>
    </row>
    <row r="168" spans="1:8" x14ac:dyDescent="0.25">
      <c r="A168" t="s">
        <v>39</v>
      </c>
      <c r="B168" t="s">
        <v>385</v>
      </c>
      <c r="C168">
        <v>21</v>
      </c>
      <c r="D168">
        <v>7274.75</v>
      </c>
      <c r="E168" s="19">
        <v>45631</v>
      </c>
      <c r="F168">
        <v>7298.35</v>
      </c>
      <c r="G168" s="19">
        <v>45660</v>
      </c>
      <c r="H168">
        <v>0.3244097735317415</v>
      </c>
    </row>
    <row r="169" spans="1:8" x14ac:dyDescent="0.25">
      <c r="A169" t="s">
        <v>39</v>
      </c>
      <c r="B169" t="s">
        <v>383</v>
      </c>
      <c r="C169">
        <v>2</v>
      </c>
      <c r="D169">
        <v>7065.8</v>
      </c>
      <c r="E169" s="19">
        <v>45628</v>
      </c>
      <c r="F169">
        <v>7126.55</v>
      </c>
      <c r="G169" s="19">
        <v>45629</v>
      </c>
      <c r="H169">
        <v>-0.85977525545585776</v>
      </c>
    </row>
    <row r="170" spans="1:8" x14ac:dyDescent="0.25">
      <c r="A170" t="s">
        <v>39</v>
      </c>
      <c r="B170" t="s">
        <v>385</v>
      </c>
      <c r="C170">
        <v>111</v>
      </c>
      <c r="D170">
        <v>6175.85</v>
      </c>
      <c r="E170" s="19">
        <v>45463</v>
      </c>
      <c r="F170">
        <v>6841.1</v>
      </c>
      <c r="G170" s="19">
        <v>45624</v>
      </c>
      <c r="H170">
        <v>10.77179659480071</v>
      </c>
    </row>
    <row r="171" spans="1:8" x14ac:dyDescent="0.25">
      <c r="A171" t="s">
        <v>39</v>
      </c>
      <c r="B171" t="s">
        <v>383</v>
      </c>
      <c r="C171">
        <v>33</v>
      </c>
      <c r="D171">
        <v>5958.55</v>
      </c>
      <c r="E171" s="19">
        <v>45414</v>
      </c>
      <c r="F171">
        <v>6236.35</v>
      </c>
      <c r="G171" s="19">
        <v>45461</v>
      </c>
      <c r="H171">
        <v>-4.6622080875380787</v>
      </c>
    </row>
    <row r="172" spans="1:8" x14ac:dyDescent="0.25">
      <c r="A172" t="s">
        <v>39</v>
      </c>
      <c r="B172" t="s">
        <v>385</v>
      </c>
      <c r="C172">
        <v>116</v>
      </c>
      <c r="D172">
        <v>5297.6</v>
      </c>
      <c r="E172" s="19">
        <v>45239</v>
      </c>
      <c r="F172">
        <v>5968.35</v>
      </c>
      <c r="G172" s="19">
        <v>45411</v>
      </c>
      <c r="H172">
        <v>12.66139383871942</v>
      </c>
    </row>
    <row r="173" spans="1:8" x14ac:dyDescent="0.25">
      <c r="A173" t="s">
        <v>39</v>
      </c>
      <c r="B173" t="s">
        <v>383</v>
      </c>
      <c r="C173">
        <v>9</v>
      </c>
      <c r="D173">
        <v>4760.3</v>
      </c>
      <c r="E173" s="19">
        <v>45225</v>
      </c>
      <c r="F173">
        <v>5136.8500000000004</v>
      </c>
      <c r="G173" s="19">
        <v>45237</v>
      </c>
      <c r="H173">
        <v>-7.9102157427052946</v>
      </c>
    </row>
    <row r="174" spans="1:8" x14ac:dyDescent="0.25">
      <c r="A174" t="s">
        <v>39</v>
      </c>
      <c r="B174" t="s">
        <v>385</v>
      </c>
      <c r="C174">
        <v>24</v>
      </c>
      <c r="D174">
        <v>5075.1499999999996</v>
      </c>
      <c r="E174" s="19">
        <v>45187</v>
      </c>
      <c r="F174">
        <v>4970</v>
      </c>
      <c r="G174" s="19">
        <v>45222</v>
      </c>
      <c r="H174">
        <v>-2.0718599450262478</v>
      </c>
    </row>
    <row r="175" spans="1:8" x14ac:dyDescent="0.25">
      <c r="A175" t="s">
        <v>39</v>
      </c>
      <c r="B175" t="s">
        <v>383</v>
      </c>
      <c r="C175">
        <v>19</v>
      </c>
      <c r="D175">
        <v>4927</v>
      </c>
      <c r="E175" s="19">
        <v>45159</v>
      </c>
      <c r="F175">
        <v>5084.55</v>
      </c>
      <c r="G175" s="19">
        <v>45183</v>
      </c>
      <c r="H175">
        <v>-3.1976862187944022</v>
      </c>
    </row>
    <row r="176" spans="1:8" x14ac:dyDescent="0.25">
      <c r="A176" t="s">
        <v>39</v>
      </c>
      <c r="B176" t="s">
        <v>385</v>
      </c>
      <c r="C176">
        <v>76</v>
      </c>
      <c r="D176">
        <v>4490.8</v>
      </c>
      <c r="E176" s="19">
        <v>45048</v>
      </c>
      <c r="F176">
        <v>4886</v>
      </c>
      <c r="G176" s="19">
        <v>45155</v>
      </c>
      <c r="H176">
        <v>8.8002137703749845</v>
      </c>
    </row>
    <row r="177" spans="1:8" x14ac:dyDescent="0.25">
      <c r="A177" t="s">
        <v>40</v>
      </c>
      <c r="B177" t="s">
        <v>385</v>
      </c>
      <c r="C177">
        <v>21</v>
      </c>
      <c r="D177">
        <v>540.45000000000005</v>
      </c>
      <c r="E177" s="19">
        <v>45631</v>
      </c>
      <c r="F177">
        <v>511.95</v>
      </c>
      <c r="G177" s="19">
        <v>45660</v>
      </c>
      <c r="H177">
        <v>-5.2733832917013714</v>
      </c>
    </row>
    <row r="178" spans="1:8" x14ac:dyDescent="0.25">
      <c r="A178" t="s">
        <v>40</v>
      </c>
      <c r="B178" t="s">
        <v>383</v>
      </c>
      <c r="C178">
        <v>31</v>
      </c>
      <c r="D178">
        <v>505.75</v>
      </c>
      <c r="E178" s="19">
        <v>45583</v>
      </c>
      <c r="F178">
        <v>521.45000000000005</v>
      </c>
      <c r="G178" s="19">
        <v>45629</v>
      </c>
      <c r="H178">
        <v>-3.1043005437469189</v>
      </c>
    </row>
    <row r="179" spans="1:8" x14ac:dyDescent="0.25">
      <c r="A179" t="s">
        <v>40</v>
      </c>
      <c r="B179" t="s">
        <v>385</v>
      </c>
      <c r="C179">
        <v>22</v>
      </c>
      <c r="D179">
        <v>526.35</v>
      </c>
      <c r="E179" s="19">
        <v>45551</v>
      </c>
      <c r="F179">
        <v>518.79999999999995</v>
      </c>
      <c r="G179" s="19">
        <v>45581</v>
      </c>
      <c r="H179">
        <v>-1.434406763560381</v>
      </c>
    </row>
    <row r="180" spans="1:8" x14ac:dyDescent="0.25">
      <c r="A180" t="s">
        <v>40</v>
      </c>
      <c r="B180" t="s">
        <v>383</v>
      </c>
      <c r="C180">
        <v>19</v>
      </c>
      <c r="D180">
        <v>483</v>
      </c>
      <c r="E180" s="19">
        <v>45523</v>
      </c>
      <c r="F180">
        <v>518.04999999999995</v>
      </c>
      <c r="G180" s="19">
        <v>45547</v>
      </c>
      <c r="H180">
        <v>-7.2567287784678998</v>
      </c>
    </row>
    <row r="181" spans="1:8" x14ac:dyDescent="0.25">
      <c r="A181" t="s">
        <v>40</v>
      </c>
      <c r="B181" t="s">
        <v>385</v>
      </c>
      <c r="C181">
        <v>37</v>
      </c>
      <c r="D181">
        <v>499.15</v>
      </c>
      <c r="E181" s="19">
        <v>45467</v>
      </c>
      <c r="F181">
        <v>486.4</v>
      </c>
      <c r="G181" s="19">
        <v>45518</v>
      </c>
      <c r="H181">
        <v>-2.5543423820494842</v>
      </c>
    </row>
    <row r="182" spans="1:8" x14ac:dyDescent="0.25">
      <c r="A182" t="s">
        <v>40</v>
      </c>
      <c r="B182" t="s">
        <v>383</v>
      </c>
      <c r="C182">
        <v>27</v>
      </c>
      <c r="D182">
        <v>474.15</v>
      </c>
      <c r="E182" s="19">
        <v>45426</v>
      </c>
      <c r="F182">
        <v>494.05</v>
      </c>
      <c r="G182" s="19">
        <v>45463</v>
      </c>
      <c r="H182">
        <v>-4.1969840767689623</v>
      </c>
    </row>
    <row r="183" spans="1:8" x14ac:dyDescent="0.25">
      <c r="A183" t="s">
        <v>40</v>
      </c>
      <c r="B183" t="s">
        <v>385</v>
      </c>
      <c r="C183">
        <v>6</v>
      </c>
      <c r="D183">
        <v>502.55</v>
      </c>
      <c r="E183" s="19">
        <v>45415</v>
      </c>
      <c r="F183">
        <v>480.75</v>
      </c>
      <c r="G183" s="19">
        <v>45422</v>
      </c>
      <c r="H183">
        <v>-4.3378768281763032</v>
      </c>
    </row>
    <row r="184" spans="1:8" x14ac:dyDescent="0.25">
      <c r="A184" t="s">
        <v>40</v>
      </c>
      <c r="B184" t="s">
        <v>383</v>
      </c>
      <c r="C184">
        <v>25</v>
      </c>
      <c r="D184">
        <v>461</v>
      </c>
      <c r="E184" s="19">
        <v>45372</v>
      </c>
      <c r="F184">
        <v>510.1</v>
      </c>
      <c r="G184" s="19">
        <v>45412</v>
      </c>
      <c r="H184">
        <v>-10.65075921908894</v>
      </c>
    </row>
    <row r="185" spans="1:8" x14ac:dyDescent="0.25">
      <c r="A185" t="s">
        <v>40</v>
      </c>
      <c r="B185" t="s">
        <v>385</v>
      </c>
      <c r="C185">
        <v>90</v>
      </c>
      <c r="D185">
        <v>418.7</v>
      </c>
      <c r="E185" s="19">
        <v>45240</v>
      </c>
      <c r="F185">
        <v>454.95</v>
      </c>
      <c r="G185" s="19">
        <v>45370</v>
      </c>
      <c r="H185">
        <v>8.6577501791258662</v>
      </c>
    </row>
    <row r="186" spans="1:8" x14ac:dyDescent="0.25">
      <c r="A186" t="s">
        <v>40</v>
      </c>
      <c r="B186" t="s">
        <v>383</v>
      </c>
      <c r="C186">
        <v>51</v>
      </c>
      <c r="D186">
        <v>388.35</v>
      </c>
      <c r="E186" s="19">
        <v>45163</v>
      </c>
      <c r="F186">
        <v>410.3</v>
      </c>
      <c r="G186" s="19">
        <v>45238</v>
      </c>
      <c r="H186">
        <v>-5.6521179348525781</v>
      </c>
    </row>
    <row r="187" spans="1:8" x14ac:dyDescent="0.25">
      <c r="A187" t="s">
        <v>40</v>
      </c>
      <c r="B187" t="s">
        <v>385</v>
      </c>
      <c r="C187">
        <v>91</v>
      </c>
      <c r="D187">
        <v>324.14999999999998</v>
      </c>
      <c r="E187" s="19">
        <v>45029</v>
      </c>
      <c r="F187">
        <v>393.7</v>
      </c>
      <c r="G187" s="19">
        <v>45161</v>
      </c>
      <c r="H187">
        <v>21.456115995681021</v>
      </c>
    </row>
    <row r="188" spans="1:8" x14ac:dyDescent="0.25">
      <c r="A188" t="s">
        <v>41</v>
      </c>
      <c r="B188" t="s">
        <v>383</v>
      </c>
      <c r="C188">
        <v>69</v>
      </c>
      <c r="D188">
        <v>220.48</v>
      </c>
      <c r="E188" s="19">
        <v>45560</v>
      </c>
      <c r="F188">
        <v>183.47</v>
      </c>
      <c r="G188" s="19">
        <v>45660</v>
      </c>
      <c r="H188">
        <v>16.786103047895502</v>
      </c>
    </row>
    <row r="189" spans="1:8" x14ac:dyDescent="0.25">
      <c r="A189" t="s">
        <v>41</v>
      </c>
      <c r="B189" t="s">
        <v>385</v>
      </c>
      <c r="C189">
        <v>21</v>
      </c>
      <c r="D189">
        <v>242.22</v>
      </c>
      <c r="E189" s="19">
        <v>45530</v>
      </c>
      <c r="F189">
        <v>218.44</v>
      </c>
      <c r="G189" s="19">
        <v>45558</v>
      </c>
      <c r="H189">
        <v>-9.8175212616629501</v>
      </c>
    </row>
    <row r="190" spans="1:8" x14ac:dyDescent="0.25">
      <c r="A190" t="s">
        <v>41</v>
      </c>
      <c r="B190" t="s">
        <v>383</v>
      </c>
      <c r="C190">
        <v>71</v>
      </c>
      <c r="D190">
        <v>218.6</v>
      </c>
      <c r="E190" s="19">
        <v>45425</v>
      </c>
      <c r="F190">
        <v>230.55</v>
      </c>
      <c r="G190" s="19">
        <v>45526</v>
      </c>
      <c r="H190">
        <v>-5.4666056724611236</v>
      </c>
    </row>
    <row r="191" spans="1:8" x14ac:dyDescent="0.25">
      <c r="A191" t="s">
        <v>41</v>
      </c>
      <c r="B191" t="s">
        <v>385</v>
      </c>
      <c r="C191">
        <v>8</v>
      </c>
      <c r="D191">
        <v>251.85</v>
      </c>
      <c r="E191" s="19">
        <v>45411</v>
      </c>
      <c r="F191">
        <v>229.8</v>
      </c>
      <c r="G191" s="19">
        <v>45421</v>
      </c>
      <c r="H191">
        <v>-8.7552114353781949</v>
      </c>
    </row>
    <row r="192" spans="1:8" x14ac:dyDescent="0.25">
      <c r="A192" t="s">
        <v>41</v>
      </c>
      <c r="B192" t="s">
        <v>383</v>
      </c>
      <c r="C192">
        <v>52</v>
      </c>
      <c r="D192">
        <v>239.75</v>
      </c>
      <c r="E192" s="19">
        <v>45330</v>
      </c>
      <c r="F192">
        <v>254.25</v>
      </c>
      <c r="G192" s="19">
        <v>45407</v>
      </c>
      <c r="H192">
        <v>-6.0479666319082384</v>
      </c>
    </row>
    <row r="193" spans="1:8" x14ac:dyDescent="0.25">
      <c r="A193" t="s">
        <v>41</v>
      </c>
      <c r="B193" t="s">
        <v>385</v>
      </c>
      <c r="C193">
        <v>22</v>
      </c>
      <c r="D193">
        <v>280.25</v>
      </c>
      <c r="E193" s="19">
        <v>45296</v>
      </c>
      <c r="F193">
        <v>268.3</v>
      </c>
      <c r="G193" s="19">
        <v>45328</v>
      </c>
      <c r="H193">
        <v>-4.2640499553969633</v>
      </c>
    </row>
    <row r="194" spans="1:8" x14ac:dyDescent="0.25">
      <c r="A194" t="s">
        <v>41</v>
      </c>
      <c r="B194" t="s">
        <v>383</v>
      </c>
      <c r="C194">
        <v>108</v>
      </c>
      <c r="D194">
        <v>325.64999999999998</v>
      </c>
      <c r="E194" s="19">
        <v>45135</v>
      </c>
      <c r="F194">
        <v>281.5</v>
      </c>
      <c r="G194" s="19">
        <v>45294</v>
      </c>
      <c r="H194">
        <v>13.55750038384768</v>
      </c>
    </row>
    <row r="195" spans="1:8" x14ac:dyDescent="0.25">
      <c r="A195" t="s">
        <v>41</v>
      </c>
      <c r="B195" t="s">
        <v>385</v>
      </c>
      <c r="C195">
        <v>76</v>
      </c>
      <c r="D195">
        <v>293.75</v>
      </c>
      <c r="E195" s="19">
        <v>45022</v>
      </c>
      <c r="F195">
        <v>323.39999999999998</v>
      </c>
      <c r="G195" s="19">
        <v>45133</v>
      </c>
      <c r="H195">
        <v>10.093617021276589</v>
      </c>
    </row>
    <row r="196" spans="1:8" x14ac:dyDescent="0.25">
      <c r="A196" t="s">
        <v>42</v>
      </c>
      <c r="B196" t="s">
        <v>383</v>
      </c>
      <c r="C196">
        <v>35</v>
      </c>
      <c r="D196">
        <v>317.14999999999998</v>
      </c>
      <c r="E196" s="19">
        <v>45609</v>
      </c>
      <c r="F196">
        <v>296.89999999999998</v>
      </c>
      <c r="G196" s="19">
        <v>45660</v>
      </c>
      <c r="H196">
        <v>6.3849913290241211</v>
      </c>
    </row>
    <row r="197" spans="1:8" x14ac:dyDescent="0.25">
      <c r="A197" t="s">
        <v>42</v>
      </c>
      <c r="B197" t="s">
        <v>385</v>
      </c>
      <c r="C197">
        <v>42</v>
      </c>
      <c r="D197">
        <v>323.64999999999998</v>
      </c>
      <c r="E197" s="19">
        <v>45547</v>
      </c>
      <c r="F197">
        <v>332.6</v>
      </c>
      <c r="G197" s="19">
        <v>45607</v>
      </c>
      <c r="H197">
        <v>2.7653329213656872</v>
      </c>
    </row>
    <row r="198" spans="1:8" x14ac:dyDescent="0.25">
      <c r="A198" t="s">
        <v>42</v>
      </c>
      <c r="B198" t="s">
        <v>383</v>
      </c>
      <c r="C198">
        <v>32</v>
      </c>
      <c r="D198">
        <v>319.85000000000002</v>
      </c>
      <c r="E198" s="19">
        <v>45499</v>
      </c>
      <c r="F198">
        <v>322.5</v>
      </c>
      <c r="G198" s="19">
        <v>45545</v>
      </c>
      <c r="H198">
        <v>-0.82851336564013656</v>
      </c>
    </row>
    <row r="199" spans="1:8" x14ac:dyDescent="0.25">
      <c r="A199" t="s">
        <v>42</v>
      </c>
      <c r="B199" t="s">
        <v>385</v>
      </c>
      <c r="C199">
        <v>26</v>
      </c>
      <c r="D199">
        <v>343.6</v>
      </c>
      <c r="E199" s="19">
        <v>45461</v>
      </c>
      <c r="F199">
        <v>320.10000000000002</v>
      </c>
      <c r="G199" s="19">
        <v>45497</v>
      </c>
      <c r="H199">
        <v>-6.8393480791618151</v>
      </c>
    </row>
    <row r="200" spans="1:8" x14ac:dyDescent="0.25">
      <c r="A200" t="s">
        <v>42</v>
      </c>
      <c r="B200" t="s">
        <v>383</v>
      </c>
      <c r="C200">
        <v>61</v>
      </c>
      <c r="D200">
        <v>318</v>
      </c>
      <c r="E200" s="19">
        <v>45365</v>
      </c>
      <c r="F200">
        <v>344.4</v>
      </c>
      <c r="G200" s="19">
        <v>45456</v>
      </c>
      <c r="H200">
        <v>-8.301886792452823</v>
      </c>
    </row>
    <row r="201" spans="1:8" x14ac:dyDescent="0.25">
      <c r="A201" t="s">
        <v>42</v>
      </c>
      <c r="B201" t="s">
        <v>385</v>
      </c>
      <c r="C201">
        <v>164</v>
      </c>
      <c r="D201">
        <v>266.55</v>
      </c>
      <c r="E201" s="19">
        <v>45125</v>
      </c>
      <c r="F201">
        <v>333.2</v>
      </c>
      <c r="G201" s="19">
        <v>45363</v>
      </c>
      <c r="H201">
        <v>25.004689551678851</v>
      </c>
    </row>
    <row r="202" spans="1:8" x14ac:dyDescent="0.25">
      <c r="A202" t="s">
        <v>42</v>
      </c>
      <c r="B202" t="s">
        <v>383</v>
      </c>
      <c r="C202">
        <v>13</v>
      </c>
      <c r="D202">
        <v>248.95</v>
      </c>
      <c r="E202" s="19">
        <v>45104</v>
      </c>
      <c r="F202">
        <v>284.3</v>
      </c>
      <c r="G202" s="19">
        <v>45121</v>
      </c>
      <c r="H202">
        <v>-14.199638481622831</v>
      </c>
    </row>
    <row r="203" spans="1:8" x14ac:dyDescent="0.25">
      <c r="A203" t="s">
        <v>42</v>
      </c>
      <c r="B203" t="s">
        <v>385</v>
      </c>
      <c r="C203">
        <v>29</v>
      </c>
      <c r="D203">
        <v>265.64999999999998</v>
      </c>
      <c r="E203" s="19">
        <v>45062</v>
      </c>
      <c r="F203">
        <v>244.9</v>
      </c>
      <c r="G203" s="19">
        <v>45100</v>
      </c>
      <c r="H203">
        <v>-7.811029550159974</v>
      </c>
    </row>
    <row r="204" spans="1:8" x14ac:dyDescent="0.25">
      <c r="A204" t="s">
        <v>43</v>
      </c>
      <c r="B204" t="s">
        <v>383</v>
      </c>
      <c r="C204">
        <v>10</v>
      </c>
      <c r="D204">
        <v>655.35</v>
      </c>
      <c r="E204" s="19">
        <v>45646</v>
      </c>
      <c r="F204">
        <v>660.6</v>
      </c>
      <c r="G204" s="19">
        <v>45660</v>
      </c>
      <c r="H204">
        <v>-0.80109864957656207</v>
      </c>
    </row>
    <row r="205" spans="1:8" x14ac:dyDescent="0.25">
      <c r="A205" t="s">
        <v>43</v>
      </c>
      <c r="B205" t="s">
        <v>385</v>
      </c>
      <c r="C205">
        <v>15</v>
      </c>
      <c r="D205">
        <v>688.7</v>
      </c>
      <c r="E205" s="19">
        <v>45624</v>
      </c>
      <c r="F205">
        <v>668.9</v>
      </c>
      <c r="G205" s="19">
        <v>45644</v>
      </c>
      <c r="H205">
        <v>-2.8749818498620692</v>
      </c>
    </row>
    <row r="206" spans="1:8" x14ac:dyDescent="0.25">
      <c r="A206" t="s">
        <v>43</v>
      </c>
      <c r="B206" t="s">
        <v>383</v>
      </c>
      <c r="C206">
        <v>46</v>
      </c>
      <c r="D206">
        <v>696.45</v>
      </c>
      <c r="E206" s="19">
        <v>45554</v>
      </c>
      <c r="F206">
        <v>708.55</v>
      </c>
      <c r="G206" s="19">
        <v>45622</v>
      </c>
      <c r="H206">
        <v>-1.7373824395146691</v>
      </c>
    </row>
    <row r="207" spans="1:8" x14ac:dyDescent="0.25">
      <c r="A207" t="s">
        <v>43</v>
      </c>
      <c r="B207" t="s">
        <v>385</v>
      </c>
      <c r="C207">
        <v>61</v>
      </c>
      <c r="D207">
        <v>696.7</v>
      </c>
      <c r="E207" s="19">
        <v>45464</v>
      </c>
      <c r="F207">
        <v>700.5</v>
      </c>
      <c r="G207" s="19">
        <v>45552</v>
      </c>
      <c r="H207">
        <v>0.54542844839959159</v>
      </c>
    </row>
    <row r="208" spans="1:8" x14ac:dyDescent="0.25">
      <c r="A208" t="s">
        <v>43</v>
      </c>
      <c r="B208" t="s">
        <v>383</v>
      </c>
      <c r="C208">
        <v>31</v>
      </c>
      <c r="D208">
        <v>629</v>
      </c>
      <c r="E208" s="19">
        <v>45419</v>
      </c>
      <c r="F208">
        <v>671.9</v>
      </c>
      <c r="G208" s="19">
        <v>45462</v>
      </c>
      <c r="H208">
        <v>-6.820349761526229</v>
      </c>
    </row>
    <row r="209" spans="1:8" x14ac:dyDescent="0.25">
      <c r="A209" t="s">
        <v>43</v>
      </c>
      <c r="B209" t="s">
        <v>385</v>
      </c>
      <c r="C209">
        <v>9</v>
      </c>
      <c r="D209">
        <v>692.85</v>
      </c>
      <c r="E209" s="19">
        <v>45404</v>
      </c>
      <c r="F209">
        <v>657.7</v>
      </c>
      <c r="G209" s="19">
        <v>45415</v>
      </c>
      <c r="H209">
        <v>-5.0732481778162626</v>
      </c>
    </row>
    <row r="210" spans="1:8" x14ac:dyDescent="0.25">
      <c r="A210" t="s">
        <v>43</v>
      </c>
      <c r="B210" t="s">
        <v>383</v>
      </c>
      <c r="C210">
        <v>18</v>
      </c>
      <c r="D210">
        <v>605.85</v>
      </c>
      <c r="E210" s="19">
        <v>45371</v>
      </c>
      <c r="F210">
        <v>660</v>
      </c>
      <c r="G210" s="19">
        <v>45400</v>
      </c>
      <c r="H210">
        <v>-8.937855904926959</v>
      </c>
    </row>
    <row r="211" spans="1:8" x14ac:dyDescent="0.25">
      <c r="A211" t="s">
        <v>43</v>
      </c>
      <c r="B211" t="s">
        <v>385</v>
      </c>
      <c r="C211">
        <v>69</v>
      </c>
      <c r="D211">
        <v>641.75</v>
      </c>
      <c r="E211" s="19">
        <v>45271</v>
      </c>
      <c r="F211">
        <v>614.4</v>
      </c>
      <c r="G211" s="19">
        <v>45369</v>
      </c>
      <c r="H211">
        <v>-4.2617841838722281</v>
      </c>
    </row>
    <row r="212" spans="1:8" x14ac:dyDescent="0.25">
      <c r="A212" t="s">
        <v>43</v>
      </c>
      <c r="B212" t="s">
        <v>383</v>
      </c>
      <c r="C212">
        <v>24</v>
      </c>
      <c r="D212">
        <v>521</v>
      </c>
      <c r="E212" s="19">
        <v>45233</v>
      </c>
      <c r="F212">
        <v>612.1</v>
      </c>
      <c r="G212" s="19">
        <v>45267</v>
      </c>
      <c r="H212">
        <v>-17.485604606525921</v>
      </c>
    </row>
    <row r="213" spans="1:8" x14ac:dyDescent="0.25">
      <c r="A213" t="s">
        <v>43</v>
      </c>
      <c r="B213" t="s">
        <v>385</v>
      </c>
      <c r="C213">
        <v>48</v>
      </c>
      <c r="D213">
        <v>590</v>
      </c>
      <c r="E213" s="19">
        <v>45161</v>
      </c>
      <c r="F213">
        <v>548.70000000000005</v>
      </c>
      <c r="G213" s="19">
        <v>45231</v>
      </c>
      <c r="H213">
        <v>-6.999999999999992</v>
      </c>
    </row>
    <row r="214" spans="1:8" x14ac:dyDescent="0.25">
      <c r="A214" t="s">
        <v>44</v>
      </c>
      <c r="B214" t="s">
        <v>383</v>
      </c>
      <c r="C214">
        <v>120</v>
      </c>
      <c r="D214">
        <v>2065.9</v>
      </c>
      <c r="E214" s="19">
        <v>45485</v>
      </c>
      <c r="F214">
        <v>1251.6500000000001</v>
      </c>
      <c r="G214" s="19">
        <v>45660</v>
      </c>
      <c r="H214">
        <v>39.413814802265357</v>
      </c>
    </row>
    <row r="215" spans="1:8" x14ac:dyDescent="0.25">
      <c r="A215" t="s">
        <v>44</v>
      </c>
      <c r="B215" t="s">
        <v>385</v>
      </c>
      <c r="C215">
        <v>23</v>
      </c>
      <c r="D215">
        <v>2240.35</v>
      </c>
      <c r="E215" s="19">
        <v>45450</v>
      </c>
      <c r="F215">
        <v>2082.9</v>
      </c>
      <c r="G215" s="19">
        <v>45483</v>
      </c>
      <c r="H215">
        <v>-7.0279197446827428</v>
      </c>
    </row>
    <row r="216" spans="1:8" x14ac:dyDescent="0.25">
      <c r="A216" t="s">
        <v>44</v>
      </c>
      <c r="B216" t="s">
        <v>383</v>
      </c>
      <c r="C216">
        <v>1</v>
      </c>
      <c r="D216">
        <v>2079.4</v>
      </c>
      <c r="E216" s="19">
        <v>45448</v>
      </c>
      <c r="F216">
        <v>2079.4</v>
      </c>
      <c r="G216" s="19">
        <v>45448</v>
      </c>
      <c r="H216">
        <v>0</v>
      </c>
    </row>
    <row r="217" spans="1:8" x14ac:dyDescent="0.25">
      <c r="A217" t="s">
        <v>44</v>
      </c>
      <c r="B217" t="s">
        <v>385</v>
      </c>
      <c r="C217">
        <v>6</v>
      </c>
      <c r="D217">
        <v>2089.6999999999998</v>
      </c>
      <c r="E217" s="19">
        <v>45439</v>
      </c>
      <c r="F217">
        <v>2001.45</v>
      </c>
      <c r="G217" s="19">
        <v>45446</v>
      </c>
      <c r="H217">
        <v>-4.2230942240512892</v>
      </c>
    </row>
    <row r="218" spans="1:8" x14ac:dyDescent="0.25">
      <c r="A218" t="s">
        <v>44</v>
      </c>
      <c r="B218" t="s">
        <v>383</v>
      </c>
      <c r="C218">
        <v>71</v>
      </c>
      <c r="D218">
        <v>2274.35</v>
      </c>
      <c r="E218" s="19">
        <v>45330</v>
      </c>
      <c r="F218">
        <v>2099.1</v>
      </c>
      <c r="G218" s="19">
        <v>45435</v>
      </c>
      <c r="H218">
        <v>7.7054982742321991</v>
      </c>
    </row>
    <row r="219" spans="1:8" x14ac:dyDescent="0.25">
      <c r="A219" t="s">
        <v>44</v>
      </c>
      <c r="B219" t="s">
        <v>385</v>
      </c>
      <c r="C219">
        <v>38</v>
      </c>
      <c r="D219">
        <v>2425</v>
      </c>
      <c r="E219" s="19">
        <v>45273</v>
      </c>
      <c r="F219">
        <v>2347</v>
      </c>
      <c r="G219" s="19">
        <v>45328</v>
      </c>
      <c r="H219">
        <v>-3.2164948453608249</v>
      </c>
    </row>
    <row r="220" spans="1:8" x14ac:dyDescent="0.25">
      <c r="A220" t="s">
        <v>44</v>
      </c>
      <c r="B220" t="s">
        <v>383</v>
      </c>
      <c r="C220">
        <v>22</v>
      </c>
      <c r="D220">
        <v>2158</v>
      </c>
      <c r="E220" s="19">
        <v>45239</v>
      </c>
      <c r="F220">
        <v>2304.1</v>
      </c>
      <c r="G220" s="19">
        <v>45271</v>
      </c>
      <c r="H220">
        <v>-6.7701575532900797</v>
      </c>
    </row>
    <row r="221" spans="1:8" x14ac:dyDescent="0.25">
      <c r="A221" t="s">
        <v>44</v>
      </c>
      <c r="B221" t="s">
        <v>385</v>
      </c>
      <c r="C221">
        <v>136</v>
      </c>
      <c r="D221">
        <v>1408.1</v>
      </c>
      <c r="E221" s="19">
        <v>45040</v>
      </c>
      <c r="F221">
        <v>2172</v>
      </c>
      <c r="G221" s="19">
        <v>45237</v>
      </c>
      <c r="H221">
        <v>54.250408351679582</v>
      </c>
    </row>
    <row r="222" spans="1:8" x14ac:dyDescent="0.25">
      <c r="A222" t="s">
        <v>45</v>
      </c>
      <c r="B222" t="s">
        <v>385</v>
      </c>
      <c r="C222">
        <v>18</v>
      </c>
      <c r="D222">
        <v>791.2</v>
      </c>
      <c r="E222" s="19">
        <v>45636</v>
      </c>
      <c r="F222">
        <v>730.25</v>
      </c>
      <c r="G222" s="19">
        <v>45660</v>
      </c>
      <c r="H222">
        <v>-7.7034883720930294</v>
      </c>
    </row>
    <row r="223" spans="1:8" x14ac:dyDescent="0.25">
      <c r="A223" t="s">
        <v>45</v>
      </c>
      <c r="B223" t="s">
        <v>383</v>
      </c>
      <c r="C223">
        <v>15</v>
      </c>
      <c r="D223">
        <v>665.65</v>
      </c>
      <c r="E223" s="19">
        <v>45610</v>
      </c>
      <c r="F223">
        <v>749.15</v>
      </c>
      <c r="G223" s="19">
        <v>45632</v>
      </c>
      <c r="H223">
        <v>-12.54412979794186</v>
      </c>
    </row>
    <row r="224" spans="1:8" x14ac:dyDescent="0.25">
      <c r="A224" t="s">
        <v>45</v>
      </c>
      <c r="B224" t="s">
        <v>385</v>
      </c>
      <c r="C224">
        <v>48</v>
      </c>
      <c r="D224">
        <v>684.25</v>
      </c>
      <c r="E224" s="19">
        <v>45540</v>
      </c>
      <c r="F224">
        <v>680.95</v>
      </c>
      <c r="G224" s="19">
        <v>45608</v>
      </c>
      <c r="H224">
        <v>-0.48227986846912008</v>
      </c>
    </row>
    <row r="225" spans="1:8" x14ac:dyDescent="0.25">
      <c r="A225" t="s">
        <v>45</v>
      </c>
      <c r="B225" t="s">
        <v>383</v>
      </c>
      <c r="C225">
        <v>13</v>
      </c>
      <c r="D225">
        <v>638.45000000000005</v>
      </c>
      <c r="E225" s="19">
        <v>45520</v>
      </c>
      <c r="F225">
        <v>656.5</v>
      </c>
      <c r="G225" s="19">
        <v>45538</v>
      </c>
      <c r="H225">
        <v>-2.8271595269793961</v>
      </c>
    </row>
    <row r="226" spans="1:8" x14ac:dyDescent="0.25">
      <c r="A226" t="s">
        <v>45</v>
      </c>
      <c r="B226" t="s">
        <v>385</v>
      </c>
      <c r="C226">
        <v>88</v>
      </c>
      <c r="D226">
        <v>595.54999999999995</v>
      </c>
      <c r="E226" s="19">
        <v>45387</v>
      </c>
      <c r="F226">
        <v>616.4</v>
      </c>
      <c r="G226" s="19">
        <v>45517</v>
      </c>
      <c r="H226">
        <v>3.5009654940811061</v>
      </c>
    </row>
    <row r="227" spans="1:8" x14ac:dyDescent="0.25">
      <c r="A227" t="s">
        <v>45</v>
      </c>
      <c r="B227" t="s">
        <v>383</v>
      </c>
      <c r="C227">
        <v>57</v>
      </c>
      <c r="D227">
        <v>565.15</v>
      </c>
      <c r="E227" s="19">
        <v>45302</v>
      </c>
      <c r="F227">
        <v>559.25</v>
      </c>
      <c r="G227" s="19">
        <v>45385</v>
      </c>
      <c r="H227">
        <v>1.043970627267093</v>
      </c>
    </row>
    <row r="228" spans="1:8" x14ac:dyDescent="0.25">
      <c r="A228" t="s">
        <v>45</v>
      </c>
      <c r="B228" t="s">
        <v>385</v>
      </c>
      <c r="C228">
        <v>4</v>
      </c>
      <c r="D228">
        <v>576</v>
      </c>
      <c r="E228" s="19">
        <v>45295</v>
      </c>
      <c r="F228">
        <v>551.85</v>
      </c>
      <c r="G228" s="19">
        <v>45300</v>
      </c>
      <c r="H228">
        <v>-4.1927083333333286</v>
      </c>
    </row>
    <row r="229" spans="1:8" x14ac:dyDescent="0.25">
      <c r="A229" t="s">
        <v>45</v>
      </c>
      <c r="B229" t="s">
        <v>383</v>
      </c>
      <c r="C229">
        <v>42</v>
      </c>
      <c r="D229">
        <v>561.54999999999995</v>
      </c>
      <c r="E229" s="19">
        <v>45232</v>
      </c>
      <c r="F229">
        <v>582.75</v>
      </c>
      <c r="G229" s="19">
        <v>45293</v>
      </c>
      <c r="H229">
        <v>-3.7752648918173</v>
      </c>
    </row>
    <row r="230" spans="1:8" x14ac:dyDescent="0.25">
      <c r="A230" t="s">
        <v>45</v>
      </c>
      <c r="B230" t="s">
        <v>385</v>
      </c>
      <c r="C230">
        <v>90</v>
      </c>
      <c r="D230">
        <v>490</v>
      </c>
      <c r="E230" s="19">
        <v>45098</v>
      </c>
      <c r="F230">
        <v>559.1</v>
      </c>
      <c r="G230" s="19">
        <v>45230</v>
      </c>
      <c r="H230">
        <v>14.102040816326539</v>
      </c>
    </row>
    <row r="231" spans="1:8" x14ac:dyDescent="0.25">
      <c r="A231" t="s">
        <v>45</v>
      </c>
      <c r="B231" t="s">
        <v>383</v>
      </c>
      <c r="C231">
        <v>20</v>
      </c>
      <c r="D231">
        <v>452.6</v>
      </c>
      <c r="E231" s="19">
        <v>45069</v>
      </c>
      <c r="F231">
        <v>487</v>
      </c>
      <c r="G231" s="19">
        <v>45096</v>
      </c>
      <c r="H231">
        <v>-7.6005302695536852</v>
      </c>
    </row>
    <row r="232" spans="1:8" x14ac:dyDescent="0.25">
      <c r="A232" t="s">
        <v>45</v>
      </c>
      <c r="B232" t="s">
        <v>385</v>
      </c>
      <c r="C232">
        <v>7</v>
      </c>
      <c r="D232">
        <v>500.1</v>
      </c>
      <c r="E232" s="19">
        <v>45057</v>
      </c>
      <c r="F232">
        <v>455.95</v>
      </c>
      <c r="G232" s="19">
        <v>45065</v>
      </c>
      <c r="H232">
        <v>-8.8282343531293801</v>
      </c>
    </row>
    <row r="233" spans="1:8" x14ac:dyDescent="0.25">
      <c r="A233" t="s">
        <v>46</v>
      </c>
      <c r="B233" t="s">
        <v>383</v>
      </c>
      <c r="C233">
        <v>55</v>
      </c>
      <c r="D233">
        <v>3082.1</v>
      </c>
      <c r="E233" s="19">
        <v>45581</v>
      </c>
      <c r="F233">
        <v>2335.9499999999998</v>
      </c>
      <c r="G233" s="19">
        <v>45660</v>
      </c>
      <c r="H233">
        <v>24.209143116706141</v>
      </c>
    </row>
    <row r="234" spans="1:8" x14ac:dyDescent="0.25">
      <c r="A234" t="s">
        <v>46</v>
      </c>
      <c r="B234" t="s">
        <v>385</v>
      </c>
      <c r="C234">
        <v>88</v>
      </c>
      <c r="D234">
        <v>2927.7</v>
      </c>
      <c r="E234" s="19">
        <v>45450</v>
      </c>
      <c r="F234">
        <v>3039.15</v>
      </c>
      <c r="G234" s="19">
        <v>45579</v>
      </c>
      <c r="H234">
        <v>3.806742494108013</v>
      </c>
    </row>
    <row r="235" spans="1:8" x14ac:dyDescent="0.25">
      <c r="A235" t="s">
        <v>46</v>
      </c>
      <c r="B235" t="s">
        <v>383</v>
      </c>
      <c r="C235">
        <v>90</v>
      </c>
      <c r="D235">
        <v>2999.45</v>
      </c>
      <c r="E235" s="19">
        <v>45315</v>
      </c>
      <c r="F235">
        <v>2961.75</v>
      </c>
      <c r="G235" s="19">
        <v>45448</v>
      </c>
      <c r="H235">
        <v>1.2568970978012579</v>
      </c>
    </row>
    <row r="236" spans="1:8" x14ac:dyDescent="0.25">
      <c r="A236" t="s">
        <v>46</v>
      </c>
      <c r="B236" t="s">
        <v>385</v>
      </c>
      <c r="C236">
        <v>33</v>
      </c>
      <c r="D236">
        <v>3252.55</v>
      </c>
      <c r="E236" s="19">
        <v>45266</v>
      </c>
      <c r="F236">
        <v>3138.8</v>
      </c>
      <c r="G236" s="19">
        <v>45311</v>
      </c>
      <c r="H236">
        <v>-3.4972559991391359</v>
      </c>
    </row>
    <row r="237" spans="1:8" x14ac:dyDescent="0.25">
      <c r="A237" t="s">
        <v>46</v>
      </c>
      <c r="B237" t="s">
        <v>383</v>
      </c>
      <c r="C237">
        <v>72</v>
      </c>
      <c r="D237">
        <v>3184</v>
      </c>
      <c r="E237" s="19">
        <v>45159</v>
      </c>
      <c r="F237">
        <v>3194.55</v>
      </c>
      <c r="G237" s="19">
        <v>45264</v>
      </c>
      <c r="H237">
        <v>-0.33134422110553341</v>
      </c>
    </row>
    <row r="238" spans="1:8" x14ac:dyDescent="0.25">
      <c r="A238" t="s">
        <v>46</v>
      </c>
      <c r="B238" t="s">
        <v>385</v>
      </c>
      <c r="C238">
        <v>78</v>
      </c>
      <c r="D238">
        <v>2899.95</v>
      </c>
      <c r="E238" s="19">
        <v>45043</v>
      </c>
      <c r="F238">
        <v>3180.3</v>
      </c>
      <c r="G238" s="19">
        <v>45155</v>
      </c>
      <c r="H238">
        <v>9.667408058759646</v>
      </c>
    </row>
    <row r="239" spans="1:8" x14ac:dyDescent="0.25">
      <c r="A239" t="s">
        <v>47</v>
      </c>
      <c r="B239" t="s">
        <v>383</v>
      </c>
      <c r="C239">
        <v>4</v>
      </c>
      <c r="D239">
        <v>767.5</v>
      </c>
      <c r="E239" s="19">
        <v>45657</v>
      </c>
      <c r="F239">
        <v>788.45</v>
      </c>
      <c r="G239" s="19">
        <v>45660</v>
      </c>
      <c r="H239">
        <v>-2.729641693811081</v>
      </c>
    </row>
    <row r="240" spans="1:8" x14ac:dyDescent="0.25">
      <c r="A240" t="s">
        <v>47</v>
      </c>
      <c r="B240" t="s">
        <v>385</v>
      </c>
      <c r="C240">
        <v>7</v>
      </c>
      <c r="D240">
        <v>829.45</v>
      </c>
      <c r="E240" s="19">
        <v>45644</v>
      </c>
      <c r="F240">
        <v>774.55</v>
      </c>
      <c r="G240" s="19">
        <v>45653</v>
      </c>
      <c r="H240">
        <v>-6.6188438121646982</v>
      </c>
    </row>
    <row r="241" spans="1:8" x14ac:dyDescent="0.25">
      <c r="A241" t="s">
        <v>47</v>
      </c>
      <c r="B241" t="s">
        <v>383</v>
      </c>
      <c r="C241">
        <v>51</v>
      </c>
      <c r="D241">
        <v>862.45</v>
      </c>
      <c r="E241" s="19">
        <v>45568</v>
      </c>
      <c r="F241">
        <v>853.15</v>
      </c>
      <c r="G241" s="19">
        <v>45642</v>
      </c>
      <c r="H241">
        <v>1.078323381065577</v>
      </c>
    </row>
    <row r="242" spans="1:8" x14ac:dyDescent="0.25">
      <c r="A242" t="s">
        <v>47</v>
      </c>
      <c r="B242" t="s">
        <v>385</v>
      </c>
      <c r="C242">
        <v>13</v>
      </c>
      <c r="D242">
        <v>934.5</v>
      </c>
      <c r="E242" s="19">
        <v>45547</v>
      </c>
      <c r="F242">
        <v>843</v>
      </c>
      <c r="G242" s="19">
        <v>45565</v>
      </c>
      <c r="H242">
        <v>-9.7913322632423743</v>
      </c>
    </row>
    <row r="243" spans="1:8" x14ac:dyDescent="0.25">
      <c r="A243" t="s">
        <v>47</v>
      </c>
      <c r="B243" t="s">
        <v>383</v>
      </c>
      <c r="C243">
        <v>19</v>
      </c>
      <c r="D243">
        <v>830.25</v>
      </c>
      <c r="E243" s="19">
        <v>45518</v>
      </c>
      <c r="F243">
        <v>871.8</v>
      </c>
      <c r="G243" s="19">
        <v>45545</v>
      </c>
      <c r="H243">
        <v>-5.0045167118337792</v>
      </c>
    </row>
    <row r="244" spans="1:8" x14ac:dyDescent="0.25">
      <c r="A244" t="s">
        <v>47</v>
      </c>
      <c r="B244" t="s">
        <v>385</v>
      </c>
      <c r="C244">
        <v>85</v>
      </c>
      <c r="D244">
        <v>655.4</v>
      </c>
      <c r="E244" s="19">
        <v>45391</v>
      </c>
      <c r="F244">
        <v>843.1</v>
      </c>
      <c r="G244" s="19">
        <v>45516</v>
      </c>
      <c r="H244">
        <v>28.638999084528539</v>
      </c>
    </row>
    <row r="245" spans="1:8" x14ac:dyDescent="0.25">
      <c r="A245" t="s">
        <v>47</v>
      </c>
      <c r="B245" t="s">
        <v>383</v>
      </c>
      <c r="C245">
        <v>14</v>
      </c>
      <c r="D245">
        <v>567.65</v>
      </c>
      <c r="E245" s="19">
        <v>45366</v>
      </c>
      <c r="F245">
        <v>633.35</v>
      </c>
      <c r="G245" s="19">
        <v>45387</v>
      </c>
      <c r="H245">
        <v>-11.574033295164281</v>
      </c>
    </row>
    <row r="246" spans="1:8" x14ac:dyDescent="0.25">
      <c r="A246" t="s">
        <v>47</v>
      </c>
      <c r="B246" t="s">
        <v>385</v>
      </c>
      <c r="C246">
        <v>220</v>
      </c>
      <c r="D246">
        <v>308</v>
      </c>
      <c r="E246" s="19">
        <v>45044</v>
      </c>
      <c r="F246">
        <v>521.65</v>
      </c>
      <c r="G246" s="19">
        <v>45364</v>
      </c>
      <c r="H246">
        <v>69.366883116883102</v>
      </c>
    </row>
    <row r="247" spans="1:8" x14ac:dyDescent="0.25">
      <c r="A247" t="s">
        <v>48</v>
      </c>
      <c r="B247" t="s">
        <v>383</v>
      </c>
      <c r="C247">
        <v>105</v>
      </c>
      <c r="D247">
        <v>2105.5</v>
      </c>
      <c r="E247" s="19">
        <v>45509</v>
      </c>
      <c r="F247">
        <v>1621.6</v>
      </c>
      <c r="G247" s="19">
        <v>45660</v>
      </c>
      <c r="H247">
        <v>22.982664450249349</v>
      </c>
    </row>
    <row r="248" spans="1:8" x14ac:dyDescent="0.25">
      <c r="A248" t="s">
        <v>48</v>
      </c>
      <c r="B248" t="s">
        <v>385</v>
      </c>
      <c r="C248">
        <v>114</v>
      </c>
      <c r="D248">
        <v>1955.25</v>
      </c>
      <c r="E248" s="19">
        <v>45337</v>
      </c>
      <c r="F248">
        <v>2168.8000000000002</v>
      </c>
      <c r="G248" s="19">
        <v>45505</v>
      </c>
      <c r="H248">
        <v>10.92187699782637</v>
      </c>
    </row>
    <row r="249" spans="1:8" x14ac:dyDescent="0.25">
      <c r="A249" t="s">
        <v>48</v>
      </c>
      <c r="B249" t="s">
        <v>383</v>
      </c>
      <c r="C249">
        <v>28</v>
      </c>
      <c r="D249">
        <v>1853.3</v>
      </c>
      <c r="E249" s="19">
        <v>45295</v>
      </c>
      <c r="F249">
        <v>1899.7</v>
      </c>
      <c r="G249" s="19">
        <v>45335</v>
      </c>
      <c r="H249">
        <v>-2.5036421518372678</v>
      </c>
    </row>
    <row r="250" spans="1:8" x14ac:dyDescent="0.25">
      <c r="A250" t="s">
        <v>48</v>
      </c>
      <c r="B250" t="s">
        <v>385</v>
      </c>
      <c r="C250">
        <v>27</v>
      </c>
      <c r="D250">
        <v>1953.95</v>
      </c>
      <c r="E250" s="19">
        <v>45253</v>
      </c>
      <c r="F250">
        <v>1899.7</v>
      </c>
      <c r="G250" s="19">
        <v>45293</v>
      </c>
      <c r="H250">
        <v>-2.7764272371350338</v>
      </c>
    </row>
    <row r="251" spans="1:8" x14ac:dyDescent="0.25">
      <c r="A251" t="s">
        <v>48</v>
      </c>
      <c r="B251" t="s">
        <v>383</v>
      </c>
      <c r="C251">
        <v>21</v>
      </c>
      <c r="D251">
        <v>1823.45</v>
      </c>
      <c r="E251" s="19">
        <v>45222</v>
      </c>
      <c r="F251">
        <v>1941.4</v>
      </c>
      <c r="G251" s="19">
        <v>45251</v>
      </c>
      <c r="H251">
        <v>-6.4685074995201433</v>
      </c>
    </row>
    <row r="252" spans="1:8" x14ac:dyDescent="0.25">
      <c r="A252" t="s">
        <v>48</v>
      </c>
      <c r="B252" t="s">
        <v>385</v>
      </c>
      <c r="C252">
        <v>2</v>
      </c>
      <c r="D252">
        <v>1963.4</v>
      </c>
      <c r="E252" s="19">
        <v>45217</v>
      </c>
      <c r="F252">
        <v>1843.85</v>
      </c>
      <c r="G252" s="19">
        <v>45218</v>
      </c>
      <c r="H252">
        <v>-6.0889273708872453</v>
      </c>
    </row>
    <row r="253" spans="1:8" x14ac:dyDescent="0.25">
      <c r="A253" t="s">
        <v>48</v>
      </c>
      <c r="B253" t="s">
        <v>383</v>
      </c>
      <c r="C253">
        <v>15</v>
      </c>
      <c r="D253">
        <v>1868</v>
      </c>
      <c r="E253" s="19">
        <v>45194</v>
      </c>
      <c r="F253">
        <v>1949.45</v>
      </c>
      <c r="G253" s="19">
        <v>45215</v>
      </c>
      <c r="H253">
        <v>-4.3602783725910088</v>
      </c>
    </row>
    <row r="254" spans="1:8" x14ac:dyDescent="0.25">
      <c r="A254" t="s">
        <v>48</v>
      </c>
      <c r="B254" t="s">
        <v>385</v>
      </c>
      <c r="C254">
        <v>98</v>
      </c>
      <c r="D254">
        <v>1490.05</v>
      </c>
      <c r="E254" s="19">
        <v>45050</v>
      </c>
      <c r="F254">
        <v>1893.15</v>
      </c>
      <c r="G254" s="19">
        <v>45190</v>
      </c>
      <c r="H254">
        <v>27.052783463642172</v>
      </c>
    </row>
    <row r="255" spans="1:8" x14ac:dyDescent="0.25">
      <c r="A255" t="s">
        <v>49</v>
      </c>
      <c r="B255" t="s">
        <v>383</v>
      </c>
      <c r="C255">
        <v>48</v>
      </c>
      <c r="D255">
        <v>1428.15</v>
      </c>
      <c r="E255" s="19">
        <v>45590</v>
      </c>
      <c r="F255">
        <v>1319.45</v>
      </c>
      <c r="G255" s="19">
        <v>45660</v>
      </c>
      <c r="H255">
        <v>7.6112453173686268</v>
      </c>
    </row>
    <row r="256" spans="1:8" x14ac:dyDescent="0.25">
      <c r="A256" t="s">
        <v>49</v>
      </c>
      <c r="B256" t="s">
        <v>385</v>
      </c>
      <c r="C256">
        <v>139</v>
      </c>
      <c r="D256">
        <v>1137.6500000000001</v>
      </c>
      <c r="E256" s="19">
        <v>45385</v>
      </c>
      <c r="F256">
        <v>1434</v>
      </c>
      <c r="G256" s="19">
        <v>45588</v>
      </c>
      <c r="H256">
        <v>26.0493121786138</v>
      </c>
    </row>
    <row r="257" spans="1:8" x14ac:dyDescent="0.25">
      <c r="A257" t="s">
        <v>49</v>
      </c>
      <c r="B257" t="s">
        <v>383</v>
      </c>
      <c r="C257">
        <v>31</v>
      </c>
      <c r="D257">
        <v>1017.2</v>
      </c>
      <c r="E257" s="19">
        <v>45337</v>
      </c>
      <c r="F257">
        <v>1113.3499999999999</v>
      </c>
      <c r="G257" s="19">
        <v>45383</v>
      </c>
      <c r="H257">
        <v>-9.4524184034604666</v>
      </c>
    </row>
    <row r="258" spans="1:8" x14ac:dyDescent="0.25">
      <c r="A258" t="s">
        <v>49</v>
      </c>
      <c r="B258" t="s">
        <v>385</v>
      </c>
      <c r="C258">
        <v>243</v>
      </c>
      <c r="D258">
        <v>464.9</v>
      </c>
      <c r="E258" s="19">
        <v>44977</v>
      </c>
      <c r="F258">
        <v>1026.4000000000001</v>
      </c>
      <c r="G258" s="19">
        <v>45335</v>
      </c>
      <c r="H258">
        <v>120.7786620778662</v>
      </c>
    </row>
    <row r="259" spans="1:8" x14ac:dyDescent="0.25">
      <c r="A259" t="s">
        <v>51</v>
      </c>
      <c r="B259" t="s">
        <v>383</v>
      </c>
      <c r="C259">
        <v>62</v>
      </c>
      <c r="D259">
        <v>84.49</v>
      </c>
      <c r="E259" s="19">
        <v>45572</v>
      </c>
      <c r="F259">
        <v>77.540000000000006</v>
      </c>
      <c r="G259" s="19">
        <v>45660</v>
      </c>
      <c r="H259">
        <v>8.2258255414841859</v>
      </c>
    </row>
    <row r="260" spans="1:8" x14ac:dyDescent="0.25">
      <c r="A260" t="s">
        <v>51</v>
      </c>
      <c r="B260" t="s">
        <v>385</v>
      </c>
      <c r="C260">
        <v>30</v>
      </c>
      <c r="D260">
        <v>91.73</v>
      </c>
      <c r="E260" s="19">
        <v>45526</v>
      </c>
      <c r="F260">
        <v>88.95</v>
      </c>
      <c r="G260" s="19">
        <v>45568</v>
      </c>
      <c r="H260">
        <v>-3.0306333805734229</v>
      </c>
    </row>
    <row r="261" spans="1:8" x14ac:dyDescent="0.25">
      <c r="A261" t="s">
        <v>51</v>
      </c>
      <c r="B261" t="s">
        <v>383</v>
      </c>
      <c r="C261">
        <v>3</v>
      </c>
      <c r="D261">
        <v>85.46</v>
      </c>
      <c r="E261" s="19">
        <v>45520</v>
      </c>
      <c r="F261">
        <v>93.27</v>
      </c>
      <c r="G261" s="19">
        <v>45524</v>
      </c>
      <c r="H261">
        <v>-9.1387783758483536</v>
      </c>
    </row>
    <row r="262" spans="1:8" x14ac:dyDescent="0.25">
      <c r="A262" t="s">
        <v>51</v>
      </c>
      <c r="B262" t="s">
        <v>385</v>
      </c>
      <c r="C262">
        <v>5</v>
      </c>
      <c r="D262">
        <v>91.78</v>
      </c>
      <c r="E262" s="19">
        <v>45511</v>
      </c>
      <c r="F262">
        <v>85.23</v>
      </c>
      <c r="G262" s="19">
        <v>45517</v>
      </c>
      <c r="H262">
        <v>-7.1366310743081254</v>
      </c>
    </row>
    <row r="263" spans="1:8" x14ac:dyDescent="0.25">
      <c r="A263" t="s">
        <v>51</v>
      </c>
      <c r="B263" t="s">
        <v>383</v>
      </c>
      <c r="C263">
        <v>0</v>
      </c>
      <c r="D263">
        <v>114.35</v>
      </c>
      <c r="E263" s="19">
        <v>44859</v>
      </c>
      <c r="F263">
        <v>85.52</v>
      </c>
      <c r="G263" s="19">
        <v>45509</v>
      </c>
      <c r="H263">
        <v>25.21206821163096</v>
      </c>
    </row>
    <row r="264" spans="1:8" x14ac:dyDescent="0.25">
      <c r="A264" t="s">
        <v>51</v>
      </c>
      <c r="B264" t="s">
        <v>385</v>
      </c>
      <c r="C264">
        <v>14</v>
      </c>
      <c r="D264">
        <v>89.64</v>
      </c>
      <c r="E264" s="19">
        <v>45488</v>
      </c>
      <c r="F264">
        <v>86.09</v>
      </c>
      <c r="G264" s="19">
        <v>45506</v>
      </c>
      <c r="H264">
        <v>-3.960285586791608</v>
      </c>
    </row>
    <row r="265" spans="1:8" x14ac:dyDescent="0.25">
      <c r="A265" t="s">
        <v>51</v>
      </c>
      <c r="B265" t="s">
        <v>383</v>
      </c>
      <c r="C265">
        <v>30</v>
      </c>
      <c r="D265">
        <v>83.7</v>
      </c>
      <c r="E265" s="19">
        <v>45442</v>
      </c>
      <c r="F265">
        <v>90.86</v>
      </c>
      <c r="G265" s="19">
        <v>45484</v>
      </c>
      <c r="H265">
        <v>-8.5543608124253243</v>
      </c>
    </row>
    <row r="266" spans="1:8" x14ac:dyDescent="0.25">
      <c r="A266" t="s">
        <v>51</v>
      </c>
      <c r="B266" t="s">
        <v>385</v>
      </c>
      <c r="C266">
        <v>10</v>
      </c>
      <c r="D266">
        <v>93.7</v>
      </c>
      <c r="E266" s="19">
        <v>45427</v>
      </c>
      <c r="F266">
        <v>88.6</v>
      </c>
      <c r="G266" s="19">
        <v>45440</v>
      </c>
      <c r="H266">
        <v>-5.4429028815368294</v>
      </c>
    </row>
    <row r="267" spans="1:8" x14ac:dyDescent="0.25">
      <c r="A267" t="s">
        <v>51</v>
      </c>
      <c r="B267" t="s">
        <v>383</v>
      </c>
      <c r="C267">
        <v>37</v>
      </c>
      <c r="D267">
        <v>84.05</v>
      </c>
      <c r="E267" s="19">
        <v>45366</v>
      </c>
      <c r="F267">
        <v>89.65</v>
      </c>
      <c r="G267" s="19">
        <v>45425</v>
      </c>
      <c r="H267">
        <v>-6.6627007733492079</v>
      </c>
    </row>
    <row r="268" spans="1:8" x14ac:dyDescent="0.25">
      <c r="A268" t="s">
        <v>51</v>
      </c>
      <c r="B268" t="s">
        <v>385</v>
      </c>
      <c r="C268">
        <v>100</v>
      </c>
      <c r="D268">
        <v>90.25</v>
      </c>
      <c r="E268" s="19">
        <v>45219</v>
      </c>
      <c r="F268">
        <v>82.25</v>
      </c>
      <c r="G268" s="19">
        <v>45364</v>
      </c>
      <c r="H268">
        <v>-8.86426592797784</v>
      </c>
    </row>
    <row r="269" spans="1:8" x14ac:dyDescent="0.25">
      <c r="A269" t="s">
        <v>51</v>
      </c>
      <c r="B269" t="s">
        <v>383</v>
      </c>
      <c r="C269">
        <v>66</v>
      </c>
      <c r="D269">
        <v>86.15</v>
      </c>
      <c r="E269" s="19">
        <v>45121</v>
      </c>
      <c r="F269">
        <v>90.75</v>
      </c>
      <c r="G269" s="19">
        <v>45217</v>
      </c>
      <c r="H269">
        <v>-5.3395240858966844</v>
      </c>
    </row>
    <row r="270" spans="1:8" x14ac:dyDescent="0.25">
      <c r="A270" t="s">
        <v>51</v>
      </c>
      <c r="B270" t="s">
        <v>385</v>
      </c>
      <c r="C270">
        <v>42</v>
      </c>
      <c r="D270">
        <v>92.7</v>
      </c>
      <c r="E270" s="19">
        <v>45061</v>
      </c>
      <c r="F270">
        <v>89.1</v>
      </c>
      <c r="G270" s="19">
        <v>45119</v>
      </c>
      <c r="H270">
        <v>-3.8834951456310769</v>
      </c>
    </row>
    <row r="271" spans="1:8" x14ac:dyDescent="0.25">
      <c r="A271" t="s">
        <v>52</v>
      </c>
      <c r="B271" t="s">
        <v>383</v>
      </c>
      <c r="C271">
        <v>58</v>
      </c>
      <c r="D271">
        <v>1172.45</v>
      </c>
      <c r="E271" s="19">
        <v>45576</v>
      </c>
      <c r="F271">
        <v>1084.9000000000001</v>
      </c>
      <c r="G271" s="19">
        <v>45660</v>
      </c>
      <c r="H271">
        <v>7.4672693931510894</v>
      </c>
    </row>
    <row r="272" spans="1:8" x14ac:dyDescent="0.25">
      <c r="A272" t="s">
        <v>52</v>
      </c>
      <c r="B272" t="s">
        <v>385</v>
      </c>
      <c r="C272">
        <v>15</v>
      </c>
      <c r="D272">
        <v>1240.45</v>
      </c>
      <c r="E272" s="19">
        <v>45553</v>
      </c>
      <c r="F272">
        <v>1170.1500000000001</v>
      </c>
      <c r="G272" s="19">
        <v>45574</v>
      </c>
      <c r="H272">
        <v>-5.6672981579265551</v>
      </c>
    </row>
    <row r="273" spans="1:8" x14ac:dyDescent="0.25">
      <c r="A273" t="s">
        <v>52</v>
      </c>
      <c r="B273" t="s">
        <v>383</v>
      </c>
      <c r="C273">
        <v>29</v>
      </c>
      <c r="D273">
        <v>1126.0999999999999</v>
      </c>
      <c r="E273" s="19">
        <v>45510</v>
      </c>
      <c r="F273">
        <v>1231.05</v>
      </c>
      <c r="G273" s="19">
        <v>45551</v>
      </c>
      <c r="H273">
        <v>-9.3197762188082809</v>
      </c>
    </row>
    <row r="274" spans="1:8" x14ac:dyDescent="0.25">
      <c r="A274" t="s">
        <v>52</v>
      </c>
      <c r="B274" t="s">
        <v>385</v>
      </c>
      <c r="C274">
        <v>67</v>
      </c>
      <c r="D274">
        <v>1159.25</v>
      </c>
      <c r="E274" s="19">
        <v>45411</v>
      </c>
      <c r="F274">
        <v>1160.8499999999999</v>
      </c>
      <c r="G274" s="19">
        <v>45506</v>
      </c>
      <c r="H274">
        <v>0.13802027172740211</v>
      </c>
    </row>
    <row r="275" spans="1:8" x14ac:dyDescent="0.25">
      <c r="A275" t="s">
        <v>52</v>
      </c>
      <c r="B275" t="s">
        <v>383</v>
      </c>
      <c r="C275">
        <v>23</v>
      </c>
      <c r="D275">
        <v>1034.75</v>
      </c>
      <c r="E275" s="19">
        <v>45371</v>
      </c>
      <c r="F275">
        <v>1127</v>
      </c>
      <c r="G275" s="19">
        <v>45407</v>
      </c>
      <c r="H275">
        <v>-8.915196907465571</v>
      </c>
    </row>
    <row r="276" spans="1:8" x14ac:dyDescent="0.25">
      <c r="A276" t="s">
        <v>52</v>
      </c>
      <c r="B276" t="s">
        <v>385</v>
      </c>
      <c r="C276">
        <v>10</v>
      </c>
      <c r="D276">
        <v>1106.75</v>
      </c>
      <c r="E276" s="19">
        <v>45355</v>
      </c>
      <c r="F276">
        <v>1061.3499999999999</v>
      </c>
      <c r="G276" s="19">
        <v>45369</v>
      </c>
      <c r="H276">
        <v>-4.1021007454258047</v>
      </c>
    </row>
    <row r="277" spans="1:8" x14ac:dyDescent="0.25">
      <c r="A277" t="s">
        <v>52</v>
      </c>
      <c r="B277" t="s">
        <v>383</v>
      </c>
      <c r="C277">
        <v>18</v>
      </c>
      <c r="D277">
        <v>1069.0999999999999</v>
      </c>
      <c r="E277" s="19">
        <v>45329</v>
      </c>
      <c r="F277">
        <v>1099.25</v>
      </c>
      <c r="G277" s="19">
        <v>45352</v>
      </c>
      <c r="H277">
        <v>-2.8201290805350379</v>
      </c>
    </row>
    <row r="278" spans="1:8" x14ac:dyDescent="0.25">
      <c r="A278" t="s">
        <v>52</v>
      </c>
      <c r="B278" t="s">
        <v>385</v>
      </c>
      <c r="C278">
        <v>60</v>
      </c>
      <c r="D278">
        <v>1021.9</v>
      </c>
      <c r="E278" s="19">
        <v>45239</v>
      </c>
      <c r="F278">
        <v>1061.5</v>
      </c>
      <c r="G278" s="19">
        <v>45327</v>
      </c>
      <c r="H278">
        <v>3.8751345532831021</v>
      </c>
    </row>
    <row r="279" spans="1:8" x14ac:dyDescent="0.25">
      <c r="A279" t="s">
        <v>52</v>
      </c>
      <c r="B279" t="s">
        <v>383</v>
      </c>
      <c r="C279">
        <v>4</v>
      </c>
      <c r="D279">
        <v>982.95</v>
      </c>
      <c r="E279" s="19">
        <v>45232</v>
      </c>
      <c r="F279">
        <v>1020.9</v>
      </c>
      <c r="G279" s="19">
        <v>45237</v>
      </c>
      <c r="H279">
        <v>-3.8608271020906391</v>
      </c>
    </row>
    <row r="280" spans="1:8" x14ac:dyDescent="0.25">
      <c r="A280" t="s">
        <v>52</v>
      </c>
      <c r="B280" t="s">
        <v>385</v>
      </c>
      <c r="C280">
        <v>44</v>
      </c>
      <c r="D280">
        <v>986.5</v>
      </c>
      <c r="E280" s="19">
        <v>45166</v>
      </c>
      <c r="F280">
        <v>981.85</v>
      </c>
      <c r="G280" s="19">
        <v>45230</v>
      </c>
      <c r="H280">
        <v>-0.47136340598073773</v>
      </c>
    </row>
    <row r="281" spans="1:8" x14ac:dyDescent="0.25">
      <c r="A281" t="s">
        <v>52</v>
      </c>
      <c r="B281" t="s">
        <v>383</v>
      </c>
      <c r="C281">
        <v>6</v>
      </c>
      <c r="D281">
        <v>937.25</v>
      </c>
      <c r="E281" s="19">
        <v>45155</v>
      </c>
      <c r="F281">
        <v>982.1</v>
      </c>
      <c r="G281" s="19">
        <v>45162</v>
      </c>
      <c r="H281">
        <v>-4.7852760736196336</v>
      </c>
    </row>
    <row r="282" spans="1:8" x14ac:dyDescent="0.25">
      <c r="A282" t="s">
        <v>52</v>
      </c>
      <c r="B282" t="s">
        <v>385</v>
      </c>
      <c r="C282">
        <v>77</v>
      </c>
      <c r="D282">
        <v>887.65</v>
      </c>
      <c r="E282" s="19">
        <v>45042</v>
      </c>
      <c r="F282">
        <v>940</v>
      </c>
      <c r="G282" s="19">
        <v>45152</v>
      </c>
      <c r="H282">
        <v>5.8975947727144744</v>
      </c>
    </row>
    <row r="283" spans="1:8" x14ac:dyDescent="0.25">
      <c r="A283" t="s">
        <v>53</v>
      </c>
      <c r="B283" t="s">
        <v>383</v>
      </c>
      <c r="C283">
        <v>47</v>
      </c>
      <c r="D283">
        <v>10011.25</v>
      </c>
      <c r="E283" s="19">
        <v>45593</v>
      </c>
      <c r="F283">
        <v>8965.7000000000007</v>
      </c>
      <c r="G283" s="19">
        <v>45660</v>
      </c>
      <c r="H283">
        <v>10.443750780372071</v>
      </c>
    </row>
    <row r="284" spans="1:8" x14ac:dyDescent="0.25">
      <c r="A284" t="s">
        <v>53</v>
      </c>
      <c r="B284" t="s">
        <v>385</v>
      </c>
      <c r="C284">
        <v>277</v>
      </c>
      <c r="D284">
        <v>4808.3</v>
      </c>
      <c r="E284" s="19">
        <v>45182</v>
      </c>
      <c r="F284">
        <v>10302.5</v>
      </c>
      <c r="G284" s="19">
        <v>45589</v>
      </c>
      <c r="H284">
        <v>114.264916914502</v>
      </c>
    </row>
    <row r="285" spans="1:8" x14ac:dyDescent="0.25">
      <c r="A285" t="s">
        <v>53</v>
      </c>
      <c r="B285" t="s">
        <v>383</v>
      </c>
      <c r="C285">
        <v>16</v>
      </c>
      <c r="D285">
        <v>4604</v>
      </c>
      <c r="E285" s="19">
        <v>45159</v>
      </c>
      <c r="F285">
        <v>4806.3999999999996</v>
      </c>
      <c r="G285" s="19">
        <v>45180</v>
      </c>
      <c r="H285">
        <v>-4.3961772371850483</v>
      </c>
    </row>
    <row r="286" spans="1:8" x14ac:dyDescent="0.25">
      <c r="A286" t="s">
        <v>53</v>
      </c>
      <c r="B286" t="s">
        <v>385</v>
      </c>
      <c r="C286">
        <v>136</v>
      </c>
      <c r="D286">
        <v>3841.15</v>
      </c>
      <c r="E286" s="19">
        <v>44956</v>
      </c>
      <c r="F286">
        <v>4652.05</v>
      </c>
      <c r="G286" s="19">
        <v>45155</v>
      </c>
      <c r="H286">
        <v>21.110865235671611</v>
      </c>
    </row>
    <row r="287" spans="1:8" x14ac:dyDescent="0.25">
      <c r="A287" t="s">
        <v>54</v>
      </c>
      <c r="B287" t="s">
        <v>383</v>
      </c>
      <c r="C287">
        <v>73</v>
      </c>
      <c r="D287">
        <v>250.35</v>
      </c>
      <c r="E287" s="19">
        <v>45554</v>
      </c>
      <c r="F287">
        <v>203.99</v>
      </c>
      <c r="G287" s="19">
        <v>45660</v>
      </c>
      <c r="H287">
        <v>18.5180746954264</v>
      </c>
    </row>
    <row r="288" spans="1:8" x14ac:dyDescent="0.25">
      <c r="A288" t="s">
        <v>54</v>
      </c>
      <c r="B288" t="s">
        <v>385</v>
      </c>
      <c r="C288">
        <v>112</v>
      </c>
      <c r="D288">
        <v>230.75</v>
      </c>
      <c r="E288" s="19">
        <v>45387</v>
      </c>
      <c r="F288">
        <v>261.55</v>
      </c>
      <c r="G288" s="19">
        <v>45552</v>
      </c>
      <c r="H288">
        <v>13.347778981581801</v>
      </c>
    </row>
    <row r="289" spans="1:8" x14ac:dyDescent="0.25">
      <c r="A289" t="s">
        <v>54</v>
      </c>
      <c r="B289" t="s">
        <v>383</v>
      </c>
      <c r="C289">
        <v>10</v>
      </c>
      <c r="D289">
        <v>218.3</v>
      </c>
      <c r="E289" s="19">
        <v>45370</v>
      </c>
      <c r="F289">
        <v>233.1</v>
      </c>
      <c r="G289" s="19">
        <v>45385</v>
      </c>
      <c r="H289">
        <v>-6.7796610169491442</v>
      </c>
    </row>
    <row r="290" spans="1:8" x14ac:dyDescent="0.25">
      <c r="A290" t="s">
        <v>54</v>
      </c>
      <c r="B290" t="s">
        <v>385</v>
      </c>
      <c r="C290">
        <v>16</v>
      </c>
      <c r="D290">
        <v>239.3</v>
      </c>
      <c r="E290" s="19">
        <v>45345</v>
      </c>
      <c r="F290">
        <v>213.45</v>
      </c>
      <c r="G290" s="19">
        <v>45366</v>
      </c>
      <c r="H290">
        <v>-10.8023401587965</v>
      </c>
    </row>
    <row r="291" spans="1:8" x14ac:dyDescent="0.25">
      <c r="A291" t="s">
        <v>54</v>
      </c>
      <c r="B291" t="s">
        <v>383</v>
      </c>
      <c r="C291">
        <v>67</v>
      </c>
      <c r="D291">
        <v>221.3</v>
      </c>
      <c r="E291" s="19">
        <v>45246</v>
      </c>
      <c r="F291">
        <v>241.2</v>
      </c>
      <c r="G291" s="19">
        <v>45343</v>
      </c>
      <c r="H291">
        <v>-8.9923181201988136</v>
      </c>
    </row>
    <row r="292" spans="1:8" x14ac:dyDescent="0.25">
      <c r="A292" t="s">
        <v>54</v>
      </c>
      <c r="B292" t="s">
        <v>385</v>
      </c>
      <c r="C292">
        <v>132</v>
      </c>
      <c r="D292">
        <v>175.25</v>
      </c>
      <c r="E292" s="19">
        <v>45054</v>
      </c>
      <c r="F292">
        <v>225.1</v>
      </c>
      <c r="G292" s="19">
        <v>45243</v>
      </c>
      <c r="H292">
        <v>28.44507845934379</v>
      </c>
    </row>
    <row r="293" spans="1:8" x14ac:dyDescent="0.25">
      <c r="A293" t="s">
        <v>55</v>
      </c>
      <c r="B293" t="s">
        <v>385</v>
      </c>
      <c r="C293">
        <v>12</v>
      </c>
      <c r="D293">
        <v>7074.45</v>
      </c>
      <c r="E293" s="19">
        <v>45644</v>
      </c>
      <c r="F293">
        <v>7407.25</v>
      </c>
      <c r="G293" s="19">
        <v>45660</v>
      </c>
      <c r="H293">
        <v>4.7042526274127354</v>
      </c>
    </row>
    <row r="294" spans="1:8" x14ac:dyDescent="0.25">
      <c r="A294" t="s">
        <v>55</v>
      </c>
      <c r="B294" t="s">
        <v>383</v>
      </c>
      <c r="C294">
        <v>38</v>
      </c>
      <c r="D294">
        <v>6677.9</v>
      </c>
      <c r="E294" s="19">
        <v>45587</v>
      </c>
      <c r="F294">
        <v>7208.4</v>
      </c>
      <c r="G294" s="19">
        <v>45642</v>
      </c>
      <c r="H294">
        <v>-7.9441141676275491</v>
      </c>
    </row>
    <row r="295" spans="1:8" x14ac:dyDescent="0.25">
      <c r="A295" t="s">
        <v>55</v>
      </c>
      <c r="B295" t="s">
        <v>385</v>
      </c>
      <c r="C295">
        <v>33</v>
      </c>
      <c r="D295">
        <v>7353.8</v>
      </c>
      <c r="E295" s="19">
        <v>45538</v>
      </c>
      <c r="F295">
        <v>6899.55</v>
      </c>
      <c r="G295" s="19">
        <v>45583</v>
      </c>
      <c r="H295">
        <v>-6.1770785172291873</v>
      </c>
    </row>
    <row r="296" spans="1:8" x14ac:dyDescent="0.25">
      <c r="A296" t="s">
        <v>55</v>
      </c>
      <c r="B296" t="s">
        <v>383</v>
      </c>
      <c r="C296">
        <v>26</v>
      </c>
      <c r="D296">
        <v>6647.75</v>
      </c>
      <c r="E296" s="19">
        <v>45498</v>
      </c>
      <c r="F296">
        <v>7200.15</v>
      </c>
      <c r="G296" s="19">
        <v>45534</v>
      </c>
      <c r="H296">
        <v>-8.3095784287916903</v>
      </c>
    </row>
    <row r="297" spans="1:8" x14ac:dyDescent="0.25">
      <c r="A297" t="s">
        <v>55</v>
      </c>
      <c r="B297" t="s">
        <v>385</v>
      </c>
      <c r="C297">
        <v>28</v>
      </c>
      <c r="D297">
        <v>7217.75</v>
      </c>
      <c r="E297" s="19">
        <v>45455</v>
      </c>
      <c r="F297">
        <v>6727.1</v>
      </c>
      <c r="G297" s="19">
        <v>45496</v>
      </c>
      <c r="H297">
        <v>-6.7978248068996523</v>
      </c>
    </row>
    <row r="298" spans="1:8" x14ac:dyDescent="0.25">
      <c r="A298" t="s">
        <v>55</v>
      </c>
      <c r="B298" t="s">
        <v>383</v>
      </c>
      <c r="C298">
        <v>22</v>
      </c>
      <c r="D298">
        <v>6684.15</v>
      </c>
      <c r="E298" s="19">
        <v>45422</v>
      </c>
      <c r="F298">
        <v>7088.85</v>
      </c>
      <c r="G298" s="19">
        <v>45453</v>
      </c>
      <c r="H298">
        <v>-6.0546217544489691</v>
      </c>
    </row>
    <row r="299" spans="1:8" x14ac:dyDescent="0.25">
      <c r="A299" t="s">
        <v>55</v>
      </c>
      <c r="B299" t="s">
        <v>385</v>
      </c>
      <c r="C299">
        <v>23</v>
      </c>
      <c r="D299">
        <v>7309.25</v>
      </c>
      <c r="E299" s="19">
        <v>45385</v>
      </c>
      <c r="F299">
        <v>6799.45</v>
      </c>
      <c r="G299" s="19">
        <v>45420</v>
      </c>
      <c r="H299">
        <v>-6.9747238088723211</v>
      </c>
    </row>
    <row r="300" spans="1:8" x14ac:dyDescent="0.25">
      <c r="A300" t="s">
        <v>55</v>
      </c>
      <c r="B300" t="s">
        <v>383</v>
      </c>
      <c r="C300">
        <v>46</v>
      </c>
      <c r="D300">
        <v>7055.3</v>
      </c>
      <c r="E300" s="19">
        <v>45315</v>
      </c>
      <c r="F300">
        <v>7250.95</v>
      </c>
      <c r="G300" s="19">
        <v>45383</v>
      </c>
      <c r="H300">
        <v>-2.7730925687072081</v>
      </c>
    </row>
    <row r="301" spans="1:8" x14ac:dyDescent="0.25">
      <c r="A301" t="s">
        <v>55</v>
      </c>
      <c r="B301" t="s">
        <v>385</v>
      </c>
      <c r="C301">
        <v>11</v>
      </c>
      <c r="D301">
        <v>7736</v>
      </c>
      <c r="E301" s="19">
        <v>45299</v>
      </c>
      <c r="F301">
        <v>7301.3</v>
      </c>
      <c r="G301" s="19">
        <v>45311</v>
      </c>
      <c r="H301">
        <v>-5.6191830403309186</v>
      </c>
    </row>
    <row r="302" spans="1:8" x14ac:dyDescent="0.25">
      <c r="A302" t="s">
        <v>55</v>
      </c>
      <c r="B302" t="s">
        <v>383</v>
      </c>
      <c r="C302">
        <v>38</v>
      </c>
      <c r="D302">
        <v>7444.8</v>
      </c>
      <c r="E302" s="19">
        <v>45240</v>
      </c>
      <c r="F302">
        <v>7705.55</v>
      </c>
      <c r="G302" s="19">
        <v>45295</v>
      </c>
      <c r="H302">
        <v>-3.5024446593595528</v>
      </c>
    </row>
    <row r="303" spans="1:8" x14ac:dyDescent="0.25">
      <c r="A303" t="s">
        <v>55</v>
      </c>
      <c r="B303" t="s">
        <v>385</v>
      </c>
      <c r="C303">
        <v>42</v>
      </c>
      <c r="D303">
        <v>7363.2</v>
      </c>
      <c r="E303" s="19">
        <v>45176</v>
      </c>
      <c r="F303">
        <v>7459.95</v>
      </c>
      <c r="G303" s="19">
        <v>45238</v>
      </c>
      <c r="H303">
        <v>1.3139667535853981</v>
      </c>
    </row>
    <row r="304" spans="1:8" x14ac:dyDescent="0.25">
      <c r="A304" t="s">
        <v>55</v>
      </c>
      <c r="B304" t="s">
        <v>383</v>
      </c>
      <c r="C304">
        <v>13</v>
      </c>
      <c r="D304">
        <v>6848</v>
      </c>
      <c r="E304" s="19">
        <v>45156</v>
      </c>
      <c r="F304">
        <v>7345.1</v>
      </c>
      <c r="G304" s="19">
        <v>45174</v>
      </c>
      <c r="H304">
        <v>-7.2590537383177622</v>
      </c>
    </row>
    <row r="305" spans="1:8" x14ac:dyDescent="0.25">
      <c r="A305" t="s">
        <v>55</v>
      </c>
      <c r="B305" t="s">
        <v>385</v>
      </c>
      <c r="C305">
        <v>74</v>
      </c>
      <c r="D305">
        <v>6180.25</v>
      </c>
      <c r="E305" s="19">
        <v>45049</v>
      </c>
      <c r="F305">
        <v>6970</v>
      </c>
      <c r="G305" s="19">
        <v>45154</v>
      </c>
      <c r="H305">
        <v>12.778609279559889</v>
      </c>
    </row>
    <row r="306" spans="1:8" x14ac:dyDescent="0.25">
      <c r="A306" t="s">
        <v>56</v>
      </c>
      <c r="B306" t="s">
        <v>383</v>
      </c>
      <c r="C306">
        <v>44</v>
      </c>
      <c r="D306">
        <v>1750.75</v>
      </c>
      <c r="E306" s="19">
        <v>45596</v>
      </c>
      <c r="F306">
        <v>1701.1</v>
      </c>
      <c r="G306" s="19">
        <v>45660</v>
      </c>
      <c r="H306">
        <v>2.8359274596601511</v>
      </c>
    </row>
    <row r="307" spans="1:8" x14ac:dyDescent="0.25">
      <c r="A307" t="s">
        <v>56</v>
      </c>
      <c r="B307" t="s">
        <v>385</v>
      </c>
      <c r="C307">
        <v>45</v>
      </c>
      <c r="D307">
        <v>1719</v>
      </c>
      <c r="E307" s="19">
        <v>45531</v>
      </c>
      <c r="F307">
        <v>1766.7</v>
      </c>
      <c r="G307" s="19">
        <v>45594</v>
      </c>
      <c r="H307">
        <v>2.7748691099476468</v>
      </c>
    </row>
    <row r="308" spans="1:8" x14ac:dyDescent="0.25">
      <c r="A308" t="s">
        <v>56</v>
      </c>
      <c r="B308" t="s">
        <v>383</v>
      </c>
      <c r="C308">
        <v>10</v>
      </c>
      <c r="D308">
        <v>1560.2</v>
      </c>
      <c r="E308" s="19">
        <v>45513</v>
      </c>
      <c r="F308">
        <v>1639.9</v>
      </c>
      <c r="G308" s="19">
        <v>45527</v>
      </c>
      <c r="H308">
        <v>-5.1083194462248462</v>
      </c>
    </row>
    <row r="309" spans="1:8" x14ac:dyDescent="0.25">
      <c r="A309" t="s">
        <v>56</v>
      </c>
      <c r="B309" t="s">
        <v>385</v>
      </c>
      <c r="C309">
        <v>15</v>
      </c>
      <c r="D309">
        <v>1651.25</v>
      </c>
      <c r="E309" s="19">
        <v>45491</v>
      </c>
      <c r="F309">
        <v>1571.4</v>
      </c>
      <c r="G309" s="19">
        <v>45511</v>
      </c>
      <c r="H309">
        <v>-4.8357305071915153</v>
      </c>
    </row>
    <row r="310" spans="1:8" x14ac:dyDescent="0.25">
      <c r="A310" t="s">
        <v>56</v>
      </c>
      <c r="B310" t="s">
        <v>383</v>
      </c>
      <c r="C310">
        <v>46</v>
      </c>
      <c r="D310">
        <v>1572.7</v>
      </c>
      <c r="E310" s="19">
        <v>45422</v>
      </c>
      <c r="F310">
        <v>1602.2</v>
      </c>
      <c r="G310" s="19">
        <v>45488</v>
      </c>
      <c r="H310">
        <v>-1.8757550708971831</v>
      </c>
    </row>
    <row r="311" spans="1:8" x14ac:dyDescent="0.25">
      <c r="A311" t="s">
        <v>56</v>
      </c>
      <c r="B311" t="s">
        <v>385</v>
      </c>
      <c r="C311">
        <v>22</v>
      </c>
      <c r="D311">
        <v>1655.8</v>
      </c>
      <c r="E311" s="19">
        <v>45386</v>
      </c>
      <c r="F311">
        <v>1603.05</v>
      </c>
      <c r="G311" s="19">
        <v>45420</v>
      </c>
      <c r="H311">
        <v>-3.1857712284092279</v>
      </c>
    </row>
    <row r="312" spans="1:8" x14ac:dyDescent="0.25">
      <c r="A312" t="s">
        <v>56</v>
      </c>
      <c r="B312" t="s">
        <v>383</v>
      </c>
      <c r="C312">
        <v>49</v>
      </c>
      <c r="D312">
        <v>1581</v>
      </c>
      <c r="E312" s="19">
        <v>45311</v>
      </c>
      <c r="F312">
        <v>1656.55</v>
      </c>
      <c r="G312" s="19">
        <v>45384</v>
      </c>
      <c r="H312">
        <v>-4.7786211258696998</v>
      </c>
    </row>
    <row r="313" spans="1:8" x14ac:dyDescent="0.25">
      <c r="A313" t="s">
        <v>56</v>
      </c>
      <c r="B313" t="s">
        <v>385</v>
      </c>
      <c r="C313">
        <v>85</v>
      </c>
      <c r="D313">
        <v>1538.1</v>
      </c>
      <c r="E313" s="19">
        <v>45184</v>
      </c>
      <c r="F313">
        <v>1581.15</v>
      </c>
      <c r="G313" s="19">
        <v>45309</v>
      </c>
      <c r="H313">
        <v>2.7989077433196918</v>
      </c>
    </row>
    <row r="314" spans="1:8" x14ac:dyDescent="0.25">
      <c r="A314" t="s">
        <v>56</v>
      </c>
      <c r="B314" t="s">
        <v>383</v>
      </c>
      <c r="C314">
        <v>19</v>
      </c>
      <c r="D314">
        <v>1459</v>
      </c>
      <c r="E314" s="19">
        <v>45156</v>
      </c>
      <c r="F314">
        <v>1552.8</v>
      </c>
      <c r="G314" s="19">
        <v>45182</v>
      </c>
      <c r="H314">
        <v>-6.4290610006853974</v>
      </c>
    </row>
    <row r="315" spans="1:8" x14ac:dyDescent="0.25">
      <c r="A315" t="s">
        <v>56</v>
      </c>
      <c r="B315" t="s">
        <v>385</v>
      </c>
      <c r="C315">
        <v>70</v>
      </c>
      <c r="D315">
        <v>1408.7</v>
      </c>
      <c r="E315" s="19">
        <v>45055</v>
      </c>
      <c r="F315">
        <v>1469.9</v>
      </c>
      <c r="G315" s="19">
        <v>45154</v>
      </c>
      <c r="H315">
        <v>4.3444310357066831</v>
      </c>
    </row>
    <row r="316" spans="1:8" x14ac:dyDescent="0.25">
      <c r="A316" t="s">
        <v>57</v>
      </c>
      <c r="B316" t="s">
        <v>385</v>
      </c>
      <c r="C316">
        <v>137</v>
      </c>
      <c r="D316">
        <v>8199.7000000000007</v>
      </c>
      <c r="E316" s="19">
        <v>45462</v>
      </c>
      <c r="F316">
        <v>11607.95</v>
      </c>
      <c r="G316" s="19">
        <v>45660</v>
      </c>
      <c r="H316">
        <v>41.565545080917587</v>
      </c>
    </row>
    <row r="317" spans="1:8" x14ac:dyDescent="0.25">
      <c r="A317" t="s">
        <v>57</v>
      </c>
      <c r="B317" t="s">
        <v>383</v>
      </c>
      <c r="C317">
        <v>16</v>
      </c>
      <c r="D317">
        <v>8031.95</v>
      </c>
      <c r="E317" s="19">
        <v>45436</v>
      </c>
      <c r="F317">
        <v>8302.85</v>
      </c>
      <c r="G317" s="19">
        <v>45457</v>
      </c>
      <c r="H317">
        <v>-3.372779960034618</v>
      </c>
    </row>
    <row r="318" spans="1:8" x14ac:dyDescent="0.25">
      <c r="A318" t="s">
        <v>57</v>
      </c>
      <c r="B318" t="s">
        <v>385</v>
      </c>
      <c r="C318">
        <v>5</v>
      </c>
      <c r="D318">
        <v>8336.2999999999993</v>
      </c>
      <c r="E318" s="19">
        <v>45428</v>
      </c>
      <c r="F318">
        <v>8123.95</v>
      </c>
      <c r="G318" s="19">
        <v>45434</v>
      </c>
      <c r="H318">
        <v>-2.5472931636337401</v>
      </c>
    </row>
    <row r="319" spans="1:8" x14ac:dyDescent="0.25">
      <c r="A319" t="s">
        <v>57</v>
      </c>
      <c r="B319" t="s">
        <v>383</v>
      </c>
      <c r="C319">
        <v>29</v>
      </c>
      <c r="D319">
        <v>8407.5499999999993</v>
      </c>
      <c r="E319" s="19">
        <v>45383</v>
      </c>
      <c r="F319">
        <v>8436.15</v>
      </c>
      <c r="G319" s="19">
        <v>45426</v>
      </c>
      <c r="H319">
        <v>-0.34017044204316788</v>
      </c>
    </row>
    <row r="320" spans="1:8" x14ac:dyDescent="0.25">
      <c r="A320" t="s">
        <v>57</v>
      </c>
      <c r="B320" t="s">
        <v>385</v>
      </c>
      <c r="C320">
        <v>89</v>
      </c>
      <c r="D320">
        <v>7299.95</v>
      </c>
      <c r="E320" s="19">
        <v>45250</v>
      </c>
      <c r="F320">
        <v>8096.3</v>
      </c>
      <c r="G320" s="19">
        <v>45378</v>
      </c>
      <c r="H320">
        <v>10.90897882862212</v>
      </c>
    </row>
    <row r="321" spans="1:8" x14ac:dyDescent="0.25">
      <c r="A321" t="s">
        <v>57</v>
      </c>
      <c r="B321" t="s">
        <v>383</v>
      </c>
      <c r="C321">
        <v>31</v>
      </c>
      <c r="D321">
        <v>6819.3</v>
      </c>
      <c r="E321" s="19">
        <v>45203</v>
      </c>
      <c r="F321">
        <v>7125</v>
      </c>
      <c r="G321" s="19">
        <v>45246</v>
      </c>
      <c r="H321">
        <v>-4.4828648101711286</v>
      </c>
    </row>
    <row r="322" spans="1:8" x14ac:dyDescent="0.25">
      <c r="A322" t="s">
        <v>57</v>
      </c>
      <c r="B322" t="s">
        <v>385</v>
      </c>
      <c r="C322">
        <v>3</v>
      </c>
      <c r="D322">
        <v>7300</v>
      </c>
      <c r="E322" s="19">
        <v>45196</v>
      </c>
      <c r="F322">
        <v>7106.45</v>
      </c>
      <c r="G322" s="19">
        <v>45198</v>
      </c>
      <c r="H322">
        <v>-2.6513698630137008</v>
      </c>
    </row>
    <row r="323" spans="1:8" x14ac:dyDescent="0.25">
      <c r="A323" t="s">
        <v>57</v>
      </c>
      <c r="B323" t="s">
        <v>383</v>
      </c>
      <c r="C323">
        <v>6</v>
      </c>
      <c r="D323">
        <v>7103.1</v>
      </c>
      <c r="E323" s="19">
        <v>45184</v>
      </c>
      <c r="F323">
        <v>7300</v>
      </c>
      <c r="G323" s="19">
        <v>45194</v>
      </c>
      <c r="H323">
        <v>-2.7720291140487898</v>
      </c>
    </row>
    <row r="324" spans="1:8" x14ac:dyDescent="0.25">
      <c r="A324" t="s">
        <v>57</v>
      </c>
      <c r="B324" t="s">
        <v>385</v>
      </c>
      <c r="C324">
        <v>103</v>
      </c>
      <c r="D324">
        <v>6315.55</v>
      </c>
      <c r="E324" s="19">
        <v>45035</v>
      </c>
      <c r="F324">
        <v>7100</v>
      </c>
      <c r="G324" s="19">
        <v>45182</v>
      </c>
      <c r="H324">
        <v>12.42092929356904</v>
      </c>
    </row>
    <row r="325" spans="1:8" x14ac:dyDescent="0.25">
      <c r="A325" t="s">
        <v>58</v>
      </c>
      <c r="B325" t="s">
        <v>383</v>
      </c>
      <c r="C325">
        <v>59</v>
      </c>
      <c r="D325">
        <v>2247</v>
      </c>
      <c r="E325" s="19">
        <v>45575</v>
      </c>
      <c r="F325">
        <v>1772.3</v>
      </c>
      <c r="G325" s="19">
        <v>45660</v>
      </c>
      <c r="H325">
        <v>21.125945705384961</v>
      </c>
    </row>
    <row r="326" spans="1:8" x14ac:dyDescent="0.25">
      <c r="A326" t="s">
        <v>58</v>
      </c>
      <c r="B326" t="s">
        <v>385</v>
      </c>
      <c r="C326">
        <v>13</v>
      </c>
      <c r="D326">
        <v>2349.25</v>
      </c>
      <c r="E326" s="19">
        <v>45554</v>
      </c>
      <c r="F326">
        <v>2230.75</v>
      </c>
      <c r="G326" s="19">
        <v>45573</v>
      </c>
      <c r="H326">
        <v>-5.044163030754496</v>
      </c>
    </row>
    <row r="327" spans="1:8" x14ac:dyDescent="0.25">
      <c r="A327" t="s">
        <v>58</v>
      </c>
      <c r="B327" t="s">
        <v>383</v>
      </c>
      <c r="C327">
        <v>23</v>
      </c>
      <c r="D327">
        <v>2174</v>
      </c>
      <c r="E327" s="19">
        <v>45520</v>
      </c>
      <c r="F327">
        <v>2301.5500000000002</v>
      </c>
      <c r="G327" s="19">
        <v>45552</v>
      </c>
      <c r="H327">
        <v>-5.8670653173873131</v>
      </c>
    </row>
    <row r="328" spans="1:8" x14ac:dyDescent="0.25">
      <c r="A328" t="s">
        <v>58</v>
      </c>
      <c r="B328" t="s">
        <v>385</v>
      </c>
      <c r="C328">
        <v>38</v>
      </c>
      <c r="D328">
        <v>2397.4499999999998</v>
      </c>
      <c r="E328" s="19">
        <v>45463</v>
      </c>
      <c r="F328">
        <v>2123.75</v>
      </c>
      <c r="G328" s="19">
        <v>45517</v>
      </c>
      <c r="H328">
        <v>-11.41629648167844</v>
      </c>
    </row>
    <row r="329" spans="1:8" x14ac:dyDescent="0.25">
      <c r="A329" t="s">
        <v>58</v>
      </c>
      <c r="B329" t="s">
        <v>383</v>
      </c>
      <c r="C329">
        <v>13</v>
      </c>
      <c r="D329">
        <v>2112</v>
      </c>
      <c r="E329" s="19">
        <v>45442</v>
      </c>
      <c r="F329">
        <v>2246.9</v>
      </c>
      <c r="G329" s="19">
        <v>45461</v>
      </c>
      <c r="H329">
        <v>-6.38731060606061</v>
      </c>
    </row>
    <row r="330" spans="1:8" x14ac:dyDescent="0.25">
      <c r="A330" t="s">
        <v>58</v>
      </c>
      <c r="B330" t="s">
        <v>385</v>
      </c>
      <c r="C330">
        <v>5</v>
      </c>
      <c r="D330">
        <v>2238.35</v>
      </c>
      <c r="E330" s="19">
        <v>45434</v>
      </c>
      <c r="F330">
        <v>2146.15</v>
      </c>
      <c r="G330" s="19">
        <v>45440</v>
      </c>
      <c r="H330">
        <v>-4.1191055911720609</v>
      </c>
    </row>
    <row r="331" spans="1:8" x14ac:dyDescent="0.25">
      <c r="A331" t="s">
        <v>58</v>
      </c>
      <c r="B331" t="s">
        <v>383</v>
      </c>
      <c r="C331">
        <v>66</v>
      </c>
      <c r="D331">
        <v>2182.8000000000002</v>
      </c>
      <c r="E331" s="19">
        <v>45334</v>
      </c>
      <c r="F331">
        <v>2277.3000000000002</v>
      </c>
      <c r="G331" s="19">
        <v>45430</v>
      </c>
      <c r="H331">
        <v>-4.3293018141836166</v>
      </c>
    </row>
    <row r="332" spans="1:8" x14ac:dyDescent="0.25">
      <c r="A332" t="s">
        <v>58</v>
      </c>
      <c r="B332" t="s">
        <v>385</v>
      </c>
      <c r="C332">
        <v>42</v>
      </c>
      <c r="D332">
        <v>2267.25</v>
      </c>
      <c r="E332" s="19">
        <v>45271</v>
      </c>
      <c r="F332">
        <v>2260.5</v>
      </c>
      <c r="G332" s="19">
        <v>45330</v>
      </c>
      <c r="H332">
        <v>-0.29771749917300688</v>
      </c>
    </row>
    <row r="333" spans="1:8" x14ac:dyDescent="0.25">
      <c r="A333" t="s">
        <v>58</v>
      </c>
      <c r="B333" t="s">
        <v>383</v>
      </c>
      <c r="C333">
        <v>36</v>
      </c>
      <c r="D333">
        <v>2196</v>
      </c>
      <c r="E333" s="19">
        <v>45216</v>
      </c>
      <c r="F333">
        <v>2351</v>
      </c>
      <c r="G333" s="19">
        <v>45267</v>
      </c>
      <c r="H333">
        <v>-7.0582877959927144</v>
      </c>
    </row>
    <row r="334" spans="1:8" x14ac:dyDescent="0.25">
      <c r="A334" t="s">
        <v>58</v>
      </c>
      <c r="B334" t="s">
        <v>385</v>
      </c>
      <c r="C334">
        <v>24</v>
      </c>
      <c r="D334">
        <v>2235.75</v>
      </c>
      <c r="E334" s="19">
        <v>45177</v>
      </c>
      <c r="F334">
        <v>2199.9499999999998</v>
      </c>
      <c r="G334" s="19">
        <v>45212</v>
      </c>
      <c r="H334">
        <v>-1.6012523761601329</v>
      </c>
    </row>
    <row r="335" spans="1:8" x14ac:dyDescent="0.25">
      <c r="A335" t="s">
        <v>58</v>
      </c>
      <c r="B335" t="s">
        <v>383</v>
      </c>
      <c r="C335">
        <v>36</v>
      </c>
      <c r="D335">
        <v>2210</v>
      </c>
      <c r="E335" s="19">
        <v>45125</v>
      </c>
      <c r="F335">
        <v>2226.5500000000002</v>
      </c>
      <c r="G335" s="19">
        <v>45175</v>
      </c>
      <c r="H335">
        <v>-0.74886877828055121</v>
      </c>
    </row>
    <row r="336" spans="1:8" x14ac:dyDescent="0.25">
      <c r="A336" t="s">
        <v>58</v>
      </c>
      <c r="B336" t="s">
        <v>385</v>
      </c>
      <c r="C336">
        <v>17</v>
      </c>
      <c r="D336">
        <v>2396.9499999999998</v>
      </c>
      <c r="E336" s="19">
        <v>45098</v>
      </c>
      <c r="F336">
        <v>2207.6999999999998</v>
      </c>
      <c r="G336" s="19">
        <v>45121</v>
      </c>
      <c r="H336">
        <v>-7.8954504683034692</v>
      </c>
    </row>
    <row r="337" spans="1:8" x14ac:dyDescent="0.25">
      <c r="A337" t="s">
        <v>58</v>
      </c>
      <c r="B337" t="s">
        <v>383</v>
      </c>
      <c r="C337">
        <v>15</v>
      </c>
      <c r="D337">
        <v>2121.25</v>
      </c>
      <c r="E337" s="19">
        <v>45076</v>
      </c>
      <c r="F337">
        <v>2371</v>
      </c>
      <c r="G337" s="19">
        <v>45096</v>
      </c>
      <c r="H337">
        <v>-11.773718326458461</v>
      </c>
    </row>
    <row r="338" spans="1:8" x14ac:dyDescent="0.25">
      <c r="A338" t="s">
        <v>58</v>
      </c>
      <c r="B338" t="s">
        <v>385</v>
      </c>
      <c r="C338">
        <v>14</v>
      </c>
      <c r="D338">
        <v>2387.0500000000002</v>
      </c>
      <c r="E338" s="19">
        <v>45055</v>
      </c>
      <c r="F338">
        <v>2158.75</v>
      </c>
      <c r="G338" s="19">
        <v>45072</v>
      </c>
      <c r="H338">
        <v>-9.5641063237049995</v>
      </c>
    </row>
    <row r="339" spans="1:8" x14ac:dyDescent="0.25">
      <c r="A339" t="s">
        <v>59</v>
      </c>
      <c r="B339" t="s">
        <v>383</v>
      </c>
      <c r="C339">
        <v>61</v>
      </c>
      <c r="D339">
        <v>3004.35</v>
      </c>
      <c r="E339" s="19">
        <v>45573</v>
      </c>
      <c r="F339">
        <v>2818.7</v>
      </c>
      <c r="G339" s="19">
        <v>45660</v>
      </c>
      <c r="H339">
        <v>6.1793732421322449</v>
      </c>
    </row>
    <row r="340" spans="1:8" x14ac:dyDescent="0.25">
      <c r="A340" t="s">
        <v>59</v>
      </c>
      <c r="B340" t="s">
        <v>385</v>
      </c>
      <c r="C340">
        <v>10</v>
      </c>
      <c r="D340">
        <v>3077.9</v>
      </c>
      <c r="E340" s="19">
        <v>45555</v>
      </c>
      <c r="F340">
        <v>2859.55</v>
      </c>
      <c r="G340" s="19">
        <v>45569</v>
      </c>
      <c r="H340">
        <v>-7.0941226160693951</v>
      </c>
    </row>
    <row r="341" spans="1:8" x14ac:dyDescent="0.25">
      <c r="A341" t="s">
        <v>59</v>
      </c>
      <c r="B341" t="s">
        <v>383</v>
      </c>
      <c r="C341">
        <v>23</v>
      </c>
      <c r="D341">
        <v>2802.3</v>
      </c>
      <c r="E341" s="19">
        <v>45523</v>
      </c>
      <c r="F341">
        <v>3035.55</v>
      </c>
      <c r="G341" s="19">
        <v>45553</v>
      </c>
      <c r="H341">
        <v>-8.3235199657424257</v>
      </c>
    </row>
    <row r="342" spans="1:8" x14ac:dyDescent="0.25">
      <c r="A342" t="s">
        <v>59</v>
      </c>
      <c r="B342" t="s">
        <v>385</v>
      </c>
      <c r="C342">
        <v>75</v>
      </c>
      <c r="D342">
        <v>2396</v>
      </c>
      <c r="E342" s="19">
        <v>45411</v>
      </c>
      <c r="F342">
        <v>2781.45</v>
      </c>
      <c r="G342" s="19">
        <v>45518</v>
      </c>
      <c r="H342">
        <v>16.087228714524201</v>
      </c>
    </row>
    <row r="343" spans="1:8" x14ac:dyDescent="0.25">
      <c r="A343" t="s">
        <v>59</v>
      </c>
      <c r="B343" t="s">
        <v>383</v>
      </c>
      <c r="C343">
        <v>56</v>
      </c>
      <c r="D343">
        <v>2452.4</v>
      </c>
      <c r="E343" s="19">
        <v>45324</v>
      </c>
      <c r="F343">
        <v>2390.75</v>
      </c>
      <c r="G343" s="19">
        <v>45407</v>
      </c>
      <c r="H343">
        <v>2.5138639699885861</v>
      </c>
    </row>
    <row r="344" spans="1:8" x14ac:dyDescent="0.25">
      <c r="A344" t="s">
        <v>59</v>
      </c>
      <c r="B344" t="s">
        <v>385</v>
      </c>
      <c r="C344">
        <v>14</v>
      </c>
      <c r="D344">
        <v>2665.5</v>
      </c>
      <c r="E344" s="19">
        <v>45302</v>
      </c>
      <c r="F344">
        <v>2454.25</v>
      </c>
      <c r="G344" s="19">
        <v>45322</v>
      </c>
      <c r="H344">
        <v>-7.9253423372725562</v>
      </c>
    </row>
    <row r="345" spans="1:8" x14ac:dyDescent="0.25">
      <c r="A345" t="s">
        <v>59</v>
      </c>
      <c r="B345" t="s">
        <v>383</v>
      </c>
      <c r="C345">
        <v>12</v>
      </c>
      <c r="D345">
        <v>2501.6</v>
      </c>
      <c r="E345" s="19">
        <v>45282</v>
      </c>
      <c r="F345">
        <v>2623.5</v>
      </c>
      <c r="G345" s="19">
        <v>45300</v>
      </c>
      <c r="H345">
        <v>-4.8728813559322068</v>
      </c>
    </row>
    <row r="346" spans="1:8" x14ac:dyDescent="0.25">
      <c r="A346" t="s">
        <v>59</v>
      </c>
      <c r="B346" t="s">
        <v>385</v>
      </c>
      <c r="C346">
        <v>160</v>
      </c>
      <c r="D346">
        <v>2094.9</v>
      </c>
      <c r="E346" s="19">
        <v>45049</v>
      </c>
      <c r="F346">
        <v>2435.65</v>
      </c>
      <c r="G346" s="19">
        <v>45280</v>
      </c>
      <c r="H346">
        <v>16.26569287316817</v>
      </c>
    </row>
    <row r="347" spans="1:8" x14ac:dyDescent="0.25">
      <c r="A347" t="s">
        <v>60</v>
      </c>
      <c r="B347" t="s">
        <v>383</v>
      </c>
      <c r="C347">
        <v>33</v>
      </c>
      <c r="D347">
        <v>525.29999999999995</v>
      </c>
      <c r="E347" s="19">
        <v>45614</v>
      </c>
      <c r="F347">
        <v>521.75</v>
      </c>
      <c r="G347" s="19">
        <v>45660</v>
      </c>
      <c r="H347">
        <v>0.67580430230343702</v>
      </c>
    </row>
    <row r="348" spans="1:8" x14ac:dyDescent="0.25">
      <c r="A348" t="s">
        <v>60</v>
      </c>
      <c r="B348" t="s">
        <v>385</v>
      </c>
      <c r="C348">
        <v>111</v>
      </c>
      <c r="D348">
        <v>386.35</v>
      </c>
      <c r="E348" s="19">
        <v>45449</v>
      </c>
      <c r="F348">
        <v>547.6</v>
      </c>
      <c r="G348" s="19">
        <v>45609</v>
      </c>
      <c r="H348">
        <v>41.736767180018113</v>
      </c>
    </row>
    <row r="349" spans="1:8" x14ac:dyDescent="0.25">
      <c r="A349" t="s">
        <v>60</v>
      </c>
      <c r="B349" t="s">
        <v>383</v>
      </c>
      <c r="C349">
        <v>0</v>
      </c>
      <c r="D349">
        <v>344.15</v>
      </c>
      <c r="E349" s="19">
        <v>44797</v>
      </c>
      <c r="F349">
        <v>364.1</v>
      </c>
      <c r="G349" s="19">
        <v>45447</v>
      </c>
      <c r="H349">
        <v>-5.7968908906000429</v>
      </c>
    </row>
    <row r="350" spans="1:8" x14ac:dyDescent="0.25">
      <c r="A350" t="s">
        <v>60</v>
      </c>
      <c r="B350" t="s">
        <v>385</v>
      </c>
      <c r="C350">
        <v>25</v>
      </c>
      <c r="D350">
        <v>401.7</v>
      </c>
      <c r="E350" s="19">
        <v>45411</v>
      </c>
      <c r="F350">
        <v>391.1</v>
      </c>
      <c r="G350" s="19">
        <v>45446</v>
      </c>
      <c r="H350">
        <v>-2.638785163056999</v>
      </c>
    </row>
    <row r="351" spans="1:8" x14ac:dyDescent="0.25">
      <c r="A351" t="s">
        <v>60</v>
      </c>
      <c r="B351" t="s">
        <v>383</v>
      </c>
      <c r="C351">
        <v>90</v>
      </c>
      <c r="D351">
        <v>386.5</v>
      </c>
      <c r="E351" s="19">
        <v>45274</v>
      </c>
      <c r="F351">
        <v>388.05</v>
      </c>
      <c r="G351" s="19">
        <v>45407</v>
      </c>
      <c r="H351">
        <v>-0.40103492884864472</v>
      </c>
    </row>
    <row r="352" spans="1:8" x14ac:dyDescent="0.25">
      <c r="A352" t="s">
        <v>60</v>
      </c>
      <c r="B352" t="s">
        <v>385</v>
      </c>
      <c r="C352">
        <v>67</v>
      </c>
      <c r="D352">
        <v>404.4</v>
      </c>
      <c r="E352" s="19">
        <v>45174</v>
      </c>
      <c r="F352">
        <v>389.7</v>
      </c>
      <c r="G352" s="19">
        <v>45272</v>
      </c>
      <c r="H352">
        <v>-3.6350148367952499</v>
      </c>
    </row>
    <row r="353" spans="1:8" x14ac:dyDescent="0.25">
      <c r="A353" t="s">
        <v>60</v>
      </c>
      <c r="B353" t="s">
        <v>383</v>
      </c>
      <c r="C353">
        <v>5</v>
      </c>
      <c r="D353">
        <v>388</v>
      </c>
      <c r="E353" s="19">
        <v>45166</v>
      </c>
      <c r="F353">
        <v>395.5</v>
      </c>
      <c r="G353" s="19">
        <v>45170</v>
      </c>
      <c r="H353">
        <v>-1.9329896907216499</v>
      </c>
    </row>
    <row r="354" spans="1:8" x14ac:dyDescent="0.25">
      <c r="A354" t="s">
        <v>60</v>
      </c>
      <c r="B354" t="s">
        <v>385</v>
      </c>
      <c r="C354">
        <v>17</v>
      </c>
      <c r="D354">
        <v>408.45</v>
      </c>
      <c r="E354" s="19">
        <v>45139</v>
      </c>
      <c r="F354">
        <v>393.25</v>
      </c>
      <c r="G354" s="19">
        <v>45162</v>
      </c>
      <c r="H354">
        <v>-3.721385726527112</v>
      </c>
    </row>
    <row r="355" spans="1:8" x14ac:dyDescent="0.25">
      <c r="A355" t="s">
        <v>60</v>
      </c>
      <c r="B355" t="s">
        <v>383</v>
      </c>
      <c r="C355">
        <v>23</v>
      </c>
      <c r="D355">
        <v>382.5</v>
      </c>
      <c r="E355" s="19">
        <v>45104</v>
      </c>
      <c r="F355">
        <v>394.55</v>
      </c>
      <c r="G355" s="19">
        <v>45135</v>
      </c>
      <c r="H355">
        <v>-3.1503267973856239</v>
      </c>
    </row>
    <row r="356" spans="1:8" x14ac:dyDescent="0.25">
      <c r="A356" t="s">
        <v>60</v>
      </c>
      <c r="B356" t="s">
        <v>385</v>
      </c>
      <c r="C356">
        <v>1</v>
      </c>
      <c r="D356">
        <v>390.5</v>
      </c>
      <c r="E356" s="19">
        <v>45100</v>
      </c>
      <c r="F356">
        <v>390.5</v>
      </c>
      <c r="G356" s="19">
        <v>45100</v>
      </c>
      <c r="H356">
        <v>0</v>
      </c>
    </row>
    <row r="357" spans="1:8" x14ac:dyDescent="0.25">
      <c r="A357" t="s">
        <v>60</v>
      </c>
      <c r="B357" t="s">
        <v>383</v>
      </c>
      <c r="C357">
        <v>19</v>
      </c>
      <c r="D357">
        <v>389.95</v>
      </c>
      <c r="E357" s="19">
        <v>45072</v>
      </c>
      <c r="F357">
        <v>399.05</v>
      </c>
      <c r="G357" s="19">
        <v>45098</v>
      </c>
      <c r="H357">
        <v>-2.333632516989363</v>
      </c>
    </row>
    <row r="358" spans="1:8" x14ac:dyDescent="0.25">
      <c r="A358" t="s">
        <v>60</v>
      </c>
      <c r="B358" t="s">
        <v>385</v>
      </c>
      <c r="C358">
        <v>34</v>
      </c>
      <c r="D358">
        <v>406.65</v>
      </c>
      <c r="E358" s="19">
        <v>45019</v>
      </c>
      <c r="F358">
        <v>391.05</v>
      </c>
      <c r="G358" s="19">
        <v>45070</v>
      </c>
      <c r="H358">
        <v>-3.8362227960162221</v>
      </c>
    </row>
    <row r="359" spans="1:8" x14ac:dyDescent="0.25">
      <c r="A359" t="s">
        <v>62</v>
      </c>
      <c r="B359" t="s">
        <v>383</v>
      </c>
      <c r="C359">
        <v>4</v>
      </c>
      <c r="D359">
        <v>240.55</v>
      </c>
      <c r="E359" s="19">
        <v>45657</v>
      </c>
      <c r="F359">
        <v>241.64</v>
      </c>
      <c r="G359" s="19">
        <v>45660</v>
      </c>
      <c r="H359">
        <v>-0.4531282477655269</v>
      </c>
    </row>
    <row r="360" spans="1:8" x14ac:dyDescent="0.25">
      <c r="A360" t="s">
        <v>62</v>
      </c>
      <c r="B360" t="s">
        <v>385</v>
      </c>
      <c r="C360">
        <v>16</v>
      </c>
      <c r="D360">
        <v>259.98</v>
      </c>
      <c r="E360" s="19">
        <v>45631</v>
      </c>
      <c r="F360">
        <v>244.99</v>
      </c>
      <c r="G360" s="19">
        <v>45653</v>
      </c>
      <c r="H360">
        <v>-5.7658281406262049</v>
      </c>
    </row>
    <row r="361" spans="1:8" x14ac:dyDescent="0.25">
      <c r="A361" t="s">
        <v>62</v>
      </c>
      <c r="B361" t="s">
        <v>383</v>
      </c>
      <c r="C361">
        <v>8</v>
      </c>
      <c r="D361">
        <v>236</v>
      </c>
      <c r="E361" s="19">
        <v>45618</v>
      </c>
      <c r="F361">
        <v>254.55</v>
      </c>
      <c r="G361" s="19">
        <v>45629</v>
      </c>
      <c r="H361">
        <v>-7.8601694915254292</v>
      </c>
    </row>
    <row r="362" spans="1:8" x14ac:dyDescent="0.25">
      <c r="A362" t="s">
        <v>62</v>
      </c>
      <c r="B362" t="s">
        <v>385</v>
      </c>
      <c r="C362">
        <v>11</v>
      </c>
      <c r="D362">
        <v>252.65</v>
      </c>
      <c r="E362" s="19">
        <v>45600</v>
      </c>
      <c r="F362">
        <v>237.2</v>
      </c>
      <c r="G362" s="19">
        <v>45615</v>
      </c>
      <c r="H362">
        <v>-6.1151791015238537</v>
      </c>
    </row>
    <row r="363" spans="1:8" x14ac:dyDescent="0.25">
      <c r="A363" t="s">
        <v>62</v>
      </c>
      <c r="B363" t="s">
        <v>383</v>
      </c>
      <c r="C363">
        <v>77</v>
      </c>
      <c r="D363">
        <v>250.6</v>
      </c>
      <c r="E363" s="19">
        <v>45485</v>
      </c>
      <c r="F363">
        <v>250.96</v>
      </c>
      <c r="G363" s="19">
        <v>45596</v>
      </c>
      <c r="H363">
        <v>-0.1436552274541156</v>
      </c>
    </row>
    <row r="364" spans="1:8" x14ac:dyDescent="0.25">
      <c r="A364" t="s">
        <v>62</v>
      </c>
      <c r="B364" t="s">
        <v>385</v>
      </c>
      <c r="C364">
        <v>147</v>
      </c>
      <c r="D364">
        <v>211.15</v>
      </c>
      <c r="E364" s="19">
        <v>45267</v>
      </c>
      <c r="F364">
        <v>256.55</v>
      </c>
      <c r="G364" s="19">
        <v>45483</v>
      </c>
      <c r="H364">
        <v>21.501302391664691</v>
      </c>
    </row>
    <row r="365" spans="1:8" x14ac:dyDescent="0.25">
      <c r="A365" t="s">
        <v>62</v>
      </c>
      <c r="B365" t="s">
        <v>383</v>
      </c>
      <c r="C365">
        <v>26</v>
      </c>
      <c r="D365">
        <v>198.25</v>
      </c>
      <c r="E365" s="19">
        <v>45229</v>
      </c>
      <c r="F365">
        <v>210.85</v>
      </c>
      <c r="G365" s="19">
        <v>45265</v>
      </c>
      <c r="H365">
        <v>-6.355611601513238</v>
      </c>
    </row>
    <row r="366" spans="1:8" x14ac:dyDescent="0.25">
      <c r="A366" t="s">
        <v>62</v>
      </c>
      <c r="B366" t="s">
        <v>385</v>
      </c>
      <c r="C366">
        <v>30</v>
      </c>
      <c r="D366">
        <v>199.95</v>
      </c>
      <c r="E366" s="19">
        <v>45181</v>
      </c>
      <c r="F366">
        <v>189.15</v>
      </c>
      <c r="G366" s="19">
        <v>45225</v>
      </c>
      <c r="H366">
        <v>-5.4013503375843879</v>
      </c>
    </row>
    <row r="367" spans="1:8" x14ac:dyDescent="0.25">
      <c r="A367" t="s">
        <v>62</v>
      </c>
      <c r="B367" t="s">
        <v>383</v>
      </c>
      <c r="C367">
        <v>14</v>
      </c>
      <c r="D367">
        <v>190.2</v>
      </c>
      <c r="E367" s="19">
        <v>45160</v>
      </c>
      <c r="F367">
        <v>197.8</v>
      </c>
      <c r="G367" s="19">
        <v>45177</v>
      </c>
      <c r="H367">
        <v>-3.9957939011566892</v>
      </c>
    </row>
    <row r="368" spans="1:8" x14ac:dyDescent="0.25">
      <c r="A368" t="s">
        <v>62</v>
      </c>
      <c r="B368" t="s">
        <v>385</v>
      </c>
      <c r="C368">
        <v>87</v>
      </c>
      <c r="D368">
        <v>176</v>
      </c>
      <c r="E368" s="19">
        <v>45033</v>
      </c>
      <c r="F368">
        <v>191.35</v>
      </c>
      <c r="G368" s="19">
        <v>45156</v>
      </c>
      <c r="H368">
        <v>8.7215909090909047</v>
      </c>
    </row>
    <row r="369" spans="1:8" x14ac:dyDescent="0.25">
      <c r="A369" t="s">
        <v>63</v>
      </c>
      <c r="B369" t="s">
        <v>383</v>
      </c>
      <c r="C369">
        <v>8</v>
      </c>
      <c r="D369">
        <v>53.65</v>
      </c>
      <c r="E369" s="19">
        <v>45650</v>
      </c>
      <c r="F369">
        <v>55.13</v>
      </c>
      <c r="G369" s="19">
        <v>45660</v>
      </c>
      <c r="H369">
        <v>-2.7586206896551801</v>
      </c>
    </row>
    <row r="370" spans="1:8" x14ac:dyDescent="0.25">
      <c r="A370" t="s">
        <v>63</v>
      </c>
      <c r="B370" t="s">
        <v>385</v>
      </c>
      <c r="C370">
        <v>10</v>
      </c>
      <c r="D370">
        <v>57.29</v>
      </c>
      <c r="E370" s="19">
        <v>45635</v>
      </c>
      <c r="F370">
        <v>54.74</v>
      </c>
      <c r="G370" s="19">
        <v>45646</v>
      </c>
      <c r="H370">
        <v>-4.4510385756676509</v>
      </c>
    </row>
    <row r="371" spans="1:8" x14ac:dyDescent="0.25">
      <c r="A371" t="s">
        <v>63</v>
      </c>
      <c r="B371" t="s">
        <v>383</v>
      </c>
      <c r="C371">
        <v>83</v>
      </c>
      <c r="D371">
        <v>62.86</v>
      </c>
      <c r="E371" s="19">
        <v>45511</v>
      </c>
      <c r="F371">
        <v>58.33</v>
      </c>
      <c r="G371" s="19">
        <v>45631</v>
      </c>
      <c r="H371">
        <v>7.2064906140629992</v>
      </c>
    </row>
    <row r="372" spans="1:8" x14ac:dyDescent="0.25">
      <c r="A372" t="s">
        <v>63</v>
      </c>
      <c r="B372" t="s">
        <v>385</v>
      </c>
      <c r="C372">
        <v>12</v>
      </c>
      <c r="D372">
        <v>65.650000000000006</v>
      </c>
      <c r="E372" s="19">
        <v>45492</v>
      </c>
      <c r="F372">
        <v>62.17</v>
      </c>
      <c r="G372" s="19">
        <v>45509</v>
      </c>
      <c r="H372">
        <v>-5.3008377760853067</v>
      </c>
    </row>
    <row r="373" spans="1:8" x14ac:dyDescent="0.25">
      <c r="A373" t="s">
        <v>63</v>
      </c>
      <c r="B373" t="s">
        <v>383</v>
      </c>
      <c r="C373">
        <v>8</v>
      </c>
      <c r="D373">
        <v>63.77</v>
      </c>
      <c r="E373" s="19">
        <v>45478</v>
      </c>
      <c r="F373">
        <v>67.69</v>
      </c>
      <c r="G373" s="19">
        <v>45489</v>
      </c>
      <c r="H373">
        <v>-6.1470911086717814</v>
      </c>
    </row>
    <row r="374" spans="1:8" x14ac:dyDescent="0.25">
      <c r="A374" t="s">
        <v>63</v>
      </c>
      <c r="B374" t="s">
        <v>385</v>
      </c>
      <c r="C374">
        <v>246</v>
      </c>
      <c r="D374">
        <v>32</v>
      </c>
      <c r="E374" s="19">
        <v>45114</v>
      </c>
      <c r="F374">
        <v>63.84</v>
      </c>
      <c r="G374" s="19">
        <v>45476</v>
      </c>
      <c r="H374">
        <v>99.500000000000014</v>
      </c>
    </row>
    <row r="375" spans="1:8" x14ac:dyDescent="0.25">
      <c r="A375" t="s">
        <v>63</v>
      </c>
      <c r="B375" t="s">
        <v>383</v>
      </c>
      <c r="C375">
        <v>10</v>
      </c>
      <c r="D375">
        <v>28.15</v>
      </c>
      <c r="E375" s="19">
        <v>45098</v>
      </c>
      <c r="F375">
        <v>30.85</v>
      </c>
      <c r="G375" s="19">
        <v>45112</v>
      </c>
      <c r="H375">
        <v>-9.5914742451154638</v>
      </c>
    </row>
    <row r="376" spans="1:8" x14ac:dyDescent="0.25">
      <c r="A376" t="s">
        <v>63</v>
      </c>
      <c r="B376" t="s">
        <v>385</v>
      </c>
      <c r="C376">
        <v>41</v>
      </c>
      <c r="D376">
        <v>27.85</v>
      </c>
      <c r="E376" s="19">
        <v>45037</v>
      </c>
      <c r="F376">
        <v>27.9</v>
      </c>
      <c r="G376" s="19">
        <v>45096</v>
      </c>
      <c r="H376">
        <v>0.17953321364451399</v>
      </c>
    </row>
    <row r="377" spans="1:8" x14ac:dyDescent="0.25">
      <c r="A377" t="s">
        <v>64</v>
      </c>
      <c r="B377" t="s">
        <v>385</v>
      </c>
      <c r="C377">
        <v>0</v>
      </c>
      <c r="D377">
        <v>1399.3</v>
      </c>
      <c r="E377" s="19">
        <v>45012</v>
      </c>
      <c r="F377">
        <v>1460.8</v>
      </c>
      <c r="G377" s="19">
        <v>45660</v>
      </c>
      <c r="H377">
        <v>4.3950546701922386</v>
      </c>
    </row>
    <row r="378" spans="1:8" x14ac:dyDescent="0.25">
      <c r="A378" t="s">
        <v>64</v>
      </c>
      <c r="B378" t="s">
        <v>383</v>
      </c>
      <c r="C378">
        <v>5</v>
      </c>
      <c r="D378">
        <v>1381.3</v>
      </c>
      <c r="E378" s="19">
        <v>45653</v>
      </c>
      <c r="F378">
        <v>1421.6</v>
      </c>
      <c r="G378" s="19">
        <v>45659</v>
      </c>
      <c r="H378">
        <v>-2.9175414464634728</v>
      </c>
    </row>
    <row r="379" spans="1:8" x14ac:dyDescent="0.25">
      <c r="A379" t="s">
        <v>64</v>
      </c>
      <c r="B379" t="s">
        <v>385</v>
      </c>
      <c r="C379">
        <v>12</v>
      </c>
      <c r="D379">
        <v>1448.25</v>
      </c>
      <c r="E379" s="19">
        <v>45635</v>
      </c>
      <c r="F379">
        <v>1361.5</v>
      </c>
      <c r="G379" s="19">
        <v>45650</v>
      </c>
      <c r="H379">
        <v>-5.9899879164508887</v>
      </c>
    </row>
    <row r="380" spans="1:8" x14ac:dyDescent="0.25">
      <c r="A380" t="s">
        <v>64</v>
      </c>
      <c r="B380" t="s">
        <v>383</v>
      </c>
      <c r="C380">
        <v>75</v>
      </c>
      <c r="D380">
        <v>1419.25</v>
      </c>
      <c r="E380" s="19">
        <v>45524</v>
      </c>
      <c r="F380">
        <v>1439.75</v>
      </c>
      <c r="G380" s="19">
        <v>45631</v>
      </c>
      <c r="H380">
        <v>-1.444424872291703</v>
      </c>
    </row>
    <row r="381" spans="1:8" x14ac:dyDescent="0.25">
      <c r="A381" t="s">
        <v>64</v>
      </c>
      <c r="B381" t="s">
        <v>385</v>
      </c>
      <c r="C381">
        <v>48</v>
      </c>
      <c r="D381">
        <v>1465.9</v>
      </c>
      <c r="E381" s="19">
        <v>45450</v>
      </c>
      <c r="F381">
        <v>1421.15</v>
      </c>
      <c r="G381" s="19">
        <v>45520</v>
      </c>
      <c r="H381">
        <v>-3.052732109966573</v>
      </c>
    </row>
    <row r="382" spans="1:8" x14ac:dyDescent="0.25">
      <c r="A382" t="s">
        <v>64</v>
      </c>
      <c r="B382" t="s">
        <v>383</v>
      </c>
      <c r="C382">
        <v>101</v>
      </c>
      <c r="D382">
        <v>1569.2</v>
      </c>
      <c r="E382" s="19">
        <v>45300</v>
      </c>
      <c r="F382">
        <v>1423.95</v>
      </c>
      <c r="G382" s="19">
        <v>45448</v>
      </c>
      <c r="H382">
        <v>9.2563089472342597</v>
      </c>
    </row>
    <row r="383" spans="1:8" x14ac:dyDescent="0.25">
      <c r="A383" t="s">
        <v>64</v>
      </c>
      <c r="B383" t="s">
        <v>385</v>
      </c>
      <c r="C383">
        <v>20</v>
      </c>
      <c r="D383">
        <v>1663.35</v>
      </c>
      <c r="E383" s="19">
        <v>45268</v>
      </c>
      <c r="F383">
        <v>1621.2</v>
      </c>
      <c r="G383" s="19">
        <v>45296</v>
      </c>
      <c r="H383">
        <v>-2.534042745062667</v>
      </c>
    </row>
    <row r="384" spans="1:8" x14ac:dyDescent="0.25">
      <c r="A384" t="s">
        <v>64</v>
      </c>
      <c r="B384" t="s">
        <v>383</v>
      </c>
      <c r="C384">
        <v>49</v>
      </c>
      <c r="D384">
        <v>1615.7</v>
      </c>
      <c r="E384" s="19">
        <v>45195</v>
      </c>
      <c r="F384">
        <v>1644.45</v>
      </c>
      <c r="G384" s="19">
        <v>45266</v>
      </c>
      <c r="H384">
        <v>-1.77941449526521</v>
      </c>
    </row>
    <row r="385" spans="1:8" x14ac:dyDescent="0.25">
      <c r="A385" t="s">
        <v>64</v>
      </c>
      <c r="B385" t="s">
        <v>385</v>
      </c>
      <c r="C385">
        <v>99</v>
      </c>
      <c r="D385">
        <v>1505.05</v>
      </c>
      <c r="E385" s="19">
        <v>45050</v>
      </c>
      <c r="F385">
        <v>1633.6</v>
      </c>
      <c r="G385" s="19">
        <v>45191</v>
      </c>
      <c r="H385">
        <v>8.541244476927675</v>
      </c>
    </row>
    <row r="386" spans="1:8" x14ac:dyDescent="0.25">
      <c r="A386" t="s">
        <v>65</v>
      </c>
      <c r="B386" t="s">
        <v>383</v>
      </c>
      <c r="C386">
        <v>33</v>
      </c>
      <c r="D386">
        <v>5686.7</v>
      </c>
      <c r="E386" s="19">
        <v>45614</v>
      </c>
      <c r="F386">
        <v>5627.3</v>
      </c>
      <c r="G386" s="19">
        <v>45660</v>
      </c>
      <c r="H386">
        <v>1.044542529059026</v>
      </c>
    </row>
    <row r="387" spans="1:8" x14ac:dyDescent="0.25">
      <c r="A387" t="s">
        <v>65</v>
      </c>
      <c r="B387" t="s">
        <v>385</v>
      </c>
      <c r="C387">
        <v>28</v>
      </c>
      <c r="D387">
        <v>6587.45</v>
      </c>
      <c r="E387" s="19">
        <v>45572</v>
      </c>
      <c r="F387">
        <v>6078.8</v>
      </c>
      <c r="G387" s="19">
        <v>45609</v>
      </c>
      <c r="H387">
        <v>-7.7215007324533724</v>
      </c>
    </row>
    <row r="388" spans="1:8" x14ac:dyDescent="0.25">
      <c r="A388" t="s">
        <v>65</v>
      </c>
      <c r="B388" t="s">
        <v>383</v>
      </c>
      <c r="C388">
        <v>6</v>
      </c>
      <c r="D388">
        <v>6250.4</v>
      </c>
      <c r="E388" s="19">
        <v>45560</v>
      </c>
      <c r="F388">
        <v>6497.05</v>
      </c>
      <c r="G388" s="19">
        <v>45568</v>
      </c>
      <c r="H388">
        <v>-3.9461474465634292</v>
      </c>
    </row>
    <row r="389" spans="1:8" x14ac:dyDescent="0.25">
      <c r="A389" t="s">
        <v>65</v>
      </c>
      <c r="B389" t="s">
        <v>385</v>
      </c>
      <c r="C389">
        <v>71</v>
      </c>
      <c r="D389">
        <v>6080.5</v>
      </c>
      <c r="E389" s="19">
        <v>45455</v>
      </c>
      <c r="F389">
        <v>6238.15</v>
      </c>
      <c r="G389" s="19">
        <v>45558</v>
      </c>
      <c r="H389">
        <v>2.5927144149329768</v>
      </c>
    </row>
    <row r="390" spans="1:8" x14ac:dyDescent="0.25">
      <c r="A390" t="s">
        <v>65</v>
      </c>
      <c r="B390" t="s">
        <v>383</v>
      </c>
      <c r="C390">
        <v>10</v>
      </c>
      <c r="D390">
        <v>5226.8500000000004</v>
      </c>
      <c r="E390" s="19">
        <v>45440</v>
      </c>
      <c r="F390">
        <v>5911.9</v>
      </c>
      <c r="G390" s="19">
        <v>45453</v>
      </c>
      <c r="H390">
        <v>-13.106364253804861</v>
      </c>
    </row>
    <row r="391" spans="1:8" x14ac:dyDescent="0.25">
      <c r="A391" t="s">
        <v>65</v>
      </c>
      <c r="B391" t="s">
        <v>385</v>
      </c>
      <c r="C391">
        <v>2</v>
      </c>
      <c r="D391">
        <v>5591.1</v>
      </c>
      <c r="E391" s="19">
        <v>45435</v>
      </c>
      <c r="F391">
        <v>5281</v>
      </c>
      <c r="G391" s="19">
        <v>45436</v>
      </c>
      <c r="H391">
        <v>-5.546314678685774</v>
      </c>
    </row>
    <row r="392" spans="1:8" x14ac:dyDescent="0.25">
      <c r="A392" t="s">
        <v>65</v>
      </c>
      <c r="B392" t="s">
        <v>383</v>
      </c>
      <c r="C392">
        <v>47</v>
      </c>
      <c r="D392">
        <v>5346.55</v>
      </c>
      <c r="E392" s="19">
        <v>45362</v>
      </c>
      <c r="F392">
        <v>5717.65</v>
      </c>
      <c r="G392" s="19">
        <v>45433</v>
      </c>
      <c r="H392">
        <v>-6.9409245214203441</v>
      </c>
    </row>
    <row r="393" spans="1:8" x14ac:dyDescent="0.25">
      <c r="A393" t="s">
        <v>65</v>
      </c>
      <c r="B393" t="s">
        <v>385</v>
      </c>
      <c r="C393">
        <v>191</v>
      </c>
      <c r="D393">
        <v>4412.3</v>
      </c>
      <c r="E393" s="19">
        <v>45082</v>
      </c>
      <c r="F393">
        <v>5469.2</v>
      </c>
      <c r="G393" s="19">
        <v>45357</v>
      </c>
      <c r="H393">
        <v>23.953493642771331</v>
      </c>
    </row>
    <row r="394" spans="1:8" x14ac:dyDescent="0.25">
      <c r="A394" t="s">
        <v>65</v>
      </c>
      <c r="B394" t="s">
        <v>383</v>
      </c>
      <c r="C394">
        <v>88</v>
      </c>
      <c r="D394">
        <v>4629.55</v>
      </c>
      <c r="E394" s="19">
        <v>44946</v>
      </c>
      <c r="F394">
        <v>4293.95</v>
      </c>
      <c r="G394" s="19">
        <v>45078</v>
      </c>
      <c r="H394">
        <v>7.2490846842565766</v>
      </c>
    </row>
    <row r="395" spans="1:8" x14ac:dyDescent="0.25">
      <c r="A395" t="s">
        <v>66</v>
      </c>
      <c r="B395" t="s">
        <v>383</v>
      </c>
      <c r="C395">
        <v>50</v>
      </c>
      <c r="D395">
        <v>534.6</v>
      </c>
      <c r="E395" s="19">
        <v>45588</v>
      </c>
      <c r="F395">
        <v>457.85</v>
      </c>
      <c r="G395" s="19">
        <v>45660</v>
      </c>
      <c r="H395">
        <v>14.356528245417129</v>
      </c>
    </row>
    <row r="396" spans="1:8" x14ac:dyDescent="0.25">
      <c r="A396" t="s">
        <v>66</v>
      </c>
      <c r="B396" t="s">
        <v>385</v>
      </c>
      <c r="C396">
        <v>70</v>
      </c>
      <c r="D396">
        <v>523.4</v>
      </c>
      <c r="E396" s="19">
        <v>45484</v>
      </c>
      <c r="F396">
        <v>556.65</v>
      </c>
      <c r="G396" s="19">
        <v>45586</v>
      </c>
      <c r="H396">
        <v>6.3526939243408496</v>
      </c>
    </row>
    <row r="397" spans="1:8" x14ac:dyDescent="0.25">
      <c r="A397" t="s">
        <v>66</v>
      </c>
      <c r="B397" t="s">
        <v>383</v>
      </c>
      <c r="C397">
        <v>77</v>
      </c>
      <c r="D397">
        <v>557.79999999999995</v>
      </c>
      <c r="E397" s="19">
        <v>45366</v>
      </c>
      <c r="F397">
        <v>513.85</v>
      </c>
      <c r="G397" s="19">
        <v>45482</v>
      </c>
      <c r="H397">
        <v>7.8791681606310391</v>
      </c>
    </row>
    <row r="398" spans="1:8" x14ac:dyDescent="0.25">
      <c r="A398" t="s">
        <v>66</v>
      </c>
      <c r="B398" t="s">
        <v>385</v>
      </c>
      <c r="C398">
        <v>7</v>
      </c>
      <c r="D398">
        <v>578.9</v>
      </c>
      <c r="E398" s="19">
        <v>45355</v>
      </c>
      <c r="F398">
        <v>556.75</v>
      </c>
      <c r="G398" s="19">
        <v>45364</v>
      </c>
      <c r="H398">
        <v>-3.8262221454482601</v>
      </c>
    </row>
    <row r="399" spans="1:8" x14ac:dyDescent="0.25">
      <c r="A399" t="s">
        <v>66</v>
      </c>
      <c r="B399" t="s">
        <v>383</v>
      </c>
      <c r="C399">
        <v>26</v>
      </c>
      <c r="D399">
        <v>554.70000000000005</v>
      </c>
      <c r="E399" s="19">
        <v>45316</v>
      </c>
      <c r="F399">
        <v>589.15</v>
      </c>
      <c r="G399" s="19">
        <v>45352</v>
      </c>
      <c r="H399">
        <v>-6.2105642689742071</v>
      </c>
    </row>
    <row r="400" spans="1:8" x14ac:dyDescent="0.25">
      <c r="A400" t="s">
        <v>66</v>
      </c>
      <c r="B400" t="s">
        <v>385</v>
      </c>
      <c r="C400">
        <v>36</v>
      </c>
      <c r="D400">
        <v>585.6</v>
      </c>
      <c r="E400" s="19">
        <v>45264</v>
      </c>
      <c r="F400">
        <v>547</v>
      </c>
      <c r="G400" s="19">
        <v>45314</v>
      </c>
      <c r="H400">
        <v>-6.5915300546448119</v>
      </c>
    </row>
    <row r="401" spans="1:8" x14ac:dyDescent="0.25">
      <c r="A401" t="s">
        <v>66</v>
      </c>
      <c r="B401" t="s">
        <v>383</v>
      </c>
      <c r="C401">
        <v>36</v>
      </c>
      <c r="D401">
        <v>561.79999999999995</v>
      </c>
      <c r="E401" s="19">
        <v>45209</v>
      </c>
      <c r="F401">
        <v>574.4</v>
      </c>
      <c r="G401" s="19">
        <v>45260</v>
      </c>
      <c r="H401">
        <v>-2.2427910288358892</v>
      </c>
    </row>
    <row r="402" spans="1:8" x14ac:dyDescent="0.25">
      <c r="A402" t="s">
        <v>66</v>
      </c>
      <c r="B402" t="s">
        <v>385</v>
      </c>
      <c r="C402">
        <v>142</v>
      </c>
      <c r="D402">
        <v>490.92</v>
      </c>
      <c r="E402" s="19">
        <v>44995</v>
      </c>
      <c r="F402">
        <v>565.35</v>
      </c>
      <c r="G402" s="19">
        <v>45205</v>
      </c>
      <c r="H402">
        <v>15.16132974822782</v>
      </c>
    </row>
    <row r="403" spans="1:8" x14ac:dyDescent="0.25">
      <c r="A403" t="s">
        <v>67</v>
      </c>
      <c r="B403" t="s">
        <v>385</v>
      </c>
      <c r="C403">
        <v>13</v>
      </c>
      <c r="D403">
        <v>151.80000000000001</v>
      </c>
      <c r="E403" s="19">
        <v>45643</v>
      </c>
      <c r="F403">
        <v>135.03</v>
      </c>
      <c r="G403" s="19">
        <v>45660</v>
      </c>
      <c r="H403">
        <v>-11.047430830039531</v>
      </c>
    </row>
    <row r="404" spans="1:8" x14ac:dyDescent="0.25">
      <c r="A404" t="s">
        <v>67</v>
      </c>
      <c r="B404" t="s">
        <v>383</v>
      </c>
      <c r="C404">
        <v>35</v>
      </c>
      <c r="D404">
        <v>133.99</v>
      </c>
      <c r="E404" s="19">
        <v>45589</v>
      </c>
      <c r="F404">
        <v>150.6</v>
      </c>
      <c r="G404" s="19">
        <v>45639</v>
      </c>
      <c r="H404">
        <v>-12.39644749608178</v>
      </c>
    </row>
    <row r="405" spans="1:8" x14ac:dyDescent="0.25">
      <c r="A405" t="s">
        <v>67</v>
      </c>
      <c r="B405" t="s">
        <v>385</v>
      </c>
      <c r="C405">
        <v>88</v>
      </c>
      <c r="D405">
        <v>106.98</v>
      </c>
      <c r="E405" s="19">
        <v>45461</v>
      </c>
      <c r="F405">
        <v>138.12</v>
      </c>
      <c r="G405" s="19">
        <v>45587</v>
      </c>
      <c r="H405">
        <v>29.108244531688161</v>
      </c>
    </row>
    <row r="406" spans="1:8" x14ac:dyDescent="0.25">
      <c r="A406" t="s">
        <v>67</v>
      </c>
      <c r="B406" t="s">
        <v>383</v>
      </c>
      <c r="C406">
        <v>21</v>
      </c>
      <c r="D406">
        <v>98.6</v>
      </c>
      <c r="E406" s="19">
        <v>45428</v>
      </c>
      <c r="F406">
        <v>103.58</v>
      </c>
      <c r="G406" s="19">
        <v>45456</v>
      </c>
      <c r="H406">
        <v>-5.050709939148077</v>
      </c>
    </row>
    <row r="407" spans="1:8" x14ac:dyDescent="0.25">
      <c r="A407" t="s">
        <v>67</v>
      </c>
      <c r="B407" t="s">
        <v>385</v>
      </c>
      <c r="C407">
        <v>20</v>
      </c>
      <c r="D407">
        <v>100.25</v>
      </c>
      <c r="E407" s="19">
        <v>45397</v>
      </c>
      <c r="F407">
        <v>97.15</v>
      </c>
      <c r="G407" s="19">
        <v>45426</v>
      </c>
      <c r="H407">
        <v>-3.0922693266832861</v>
      </c>
    </row>
    <row r="408" spans="1:8" x14ac:dyDescent="0.25">
      <c r="A408" t="s">
        <v>67</v>
      </c>
      <c r="B408" t="s">
        <v>383</v>
      </c>
      <c r="C408">
        <v>35</v>
      </c>
      <c r="D408">
        <v>100.85</v>
      </c>
      <c r="E408" s="19">
        <v>45342</v>
      </c>
      <c r="F408">
        <v>105</v>
      </c>
      <c r="G408" s="19">
        <v>45392</v>
      </c>
      <c r="H408">
        <v>-4.1150223103619297</v>
      </c>
    </row>
    <row r="409" spans="1:8" x14ac:dyDescent="0.25">
      <c r="A409" t="s">
        <v>67</v>
      </c>
      <c r="B409" t="s">
        <v>385</v>
      </c>
      <c r="C409">
        <v>60</v>
      </c>
      <c r="D409">
        <v>96.75</v>
      </c>
      <c r="E409" s="19">
        <v>45252</v>
      </c>
      <c r="F409">
        <v>101.5</v>
      </c>
      <c r="G409" s="19">
        <v>45338</v>
      </c>
      <c r="H409">
        <v>4.909560723514212</v>
      </c>
    </row>
    <row r="410" spans="1:8" x14ac:dyDescent="0.25">
      <c r="A410" t="s">
        <v>67</v>
      </c>
      <c r="B410" t="s">
        <v>383</v>
      </c>
      <c r="C410">
        <v>15</v>
      </c>
      <c r="D410">
        <v>87.1</v>
      </c>
      <c r="E410" s="19">
        <v>45230</v>
      </c>
      <c r="F410">
        <v>92.7</v>
      </c>
      <c r="G410" s="19">
        <v>45250</v>
      </c>
      <c r="H410">
        <v>-6.4293915040183798</v>
      </c>
    </row>
    <row r="411" spans="1:8" x14ac:dyDescent="0.25">
      <c r="A411" t="s">
        <v>67</v>
      </c>
      <c r="B411" t="s">
        <v>385</v>
      </c>
      <c r="C411">
        <v>12</v>
      </c>
      <c r="D411">
        <v>91.7</v>
      </c>
      <c r="E411" s="19">
        <v>45210</v>
      </c>
      <c r="F411">
        <v>88.9</v>
      </c>
      <c r="G411" s="19">
        <v>45226</v>
      </c>
      <c r="H411">
        <v>-3.053435114503813</v>
      </c>
    </row>
    <row r="412" spans="1:8" x14ac:dyDescent="0.25">
      <c r="A412" t="s">
        <v>67</v>
      </c>
      <c r="B412" t="s">
        <v>383</v>
      </c>
      <c r="C412">
        <v>4</v>
      </c>
      <c r="D412">
        <v>87.7</v>
      </c>
      <c r="E412" s="19">
        <v>45203</v>
      </c>
      <c r="F412">
        <v>90.4</v>
      </c>
      <c r="G412" s="19">
        <v>45208</v>
      </c>
      <c r="H412">
        <v>-3.0786773090079849</v>
      </c>
    </row>
    <row r="413" spans="1:8" x14ac:dyDescent="0.25">
      <c r="A413" t="s">
        <v>67</v>
      </c>
      <c r="B413" t="s">
        <v>385</v>
      </c>
      <c r="C413">
        <v>19</v>
      </c>
      <c r="D413">
        <v>95.5</v>
      </c>
      <c r="E413" s="19">
        <v>45173</v>
      </c>
      <c r="F413">
        <v>88.05</v>
      </c>
      <c r="G413" s="19">
        <v>45198</v>
      </c>
      <c r="H413">
        <v>-7.8010471204188514</v>
      </c>
    </row>
    <row r="414" spans="1:8" x14ac:dyDescent="0.25">
      <c r="A414" t="s">
        <v>67</v>
      </c>
      <c r="B414" t="s">
        <v>383</v>
      </c>
      <c r="C414">
        <v>19</v>
      </c>
      <c r="D414">
        <v>85.55</v>
      </c>
      <c r="E414" s="19">
        <v>45142</v>
      </c>
      <c r="F414">
        <v>93.25</v>
      </c>
      <c r="G414" s="19">
        <v>45169</v>
      </c>
      <c r="H414">
        <v>-9.0005844535359483</v>
      </c>
    </row>
    <row r="415" spans="1:8" x14ac:dyDescent="0.25">
      <c r="A415" t="s">
        <v>67</v>
      </c>
      <c r="B415" t="s">
        <v>385</v>
      </c>
      <c r="C415">
        <v>63</v>
      </c>
      <c r="D415">
        <v>75.930000000000007</v>
      </c>
      <c r="E415" s="19">
        <v>45051</v>
      </c>
      <c r="F415">
        <v>86.3</v>
      </c>
      <c r="G415" s="19">
        <v>45140</v>
      </c>
      <c r="H415">
        <v>13.65731594890029</v>
      </c>
    </row>
    <row r="416" spans="1:8" x14ac:dyDescent="0.25">
      <c r="A416" t="s">
        <v>68</v>
      </c>
      <c r="B416" t="s">
        <v>383</v>
      </c>
      <c r="C416">
        <v>85</v>
      </c>
      <c r="D416">
        <v>1567.1</v>
      </c>
      <c r="E416" s="19">
        <v>45538</v>
      </c>
      <c r="F416">
        <v>1296.1500000000001</v>
      </c>
      <c r="G416" s="19">
        <v>45660</v>
      </c>
      <c r="H416">
        <v>17.289898538702051</v>
      </c>
    </row>
    <row r="417" spans="1:8" x14ac:dyDescent="0.25">
      <c r="A417" t="s">
        <v>68</v>
      </c>
      <c r="B417" t="s">
        <v>385</v>
      </c>
      <c r="C417">
        <v>91</v>
      </c>
      <c r="D417">
        <v>1204.5</v>
      </c>
      <c r="E417" s="19">
        <v>45404</v>
      </c>
      <c r="F417">
        <v>1587</v>
      </c>
      <c r="G417" s="19">
        <v>45534</v>
      </c>
      <c r="H417">
        <v>31.75591531755915</v>
      </c>
    </row>
    <row r="418" spans="1:8" x14ac:dyDescent="0.25">
      <c r="A418" t="s">
        <v>68</v>
      </c>
      <c r="B418" t="s">
        <v>383</v>
      </c>
      <c r="C418">
        <v>40</v>
      </c>
      <c r="D418">
        <v>1124.75</v>
      </c>
      <c r="E418" s="19">
        <v>45341</v>
      </c>
      <c r="F418">
        <v>1186.2</v>
      </c>
      <c r="G418" s="19">
        <v>45400</v>
      </c>
      <c r="H418">
        <v>-5.463436319182045</v>
      </c>
    </row>
    <row r="419" spans="1:8" x14ac:dyDescent="0.25">
      <c r="A419" t="s">
        <v>68</v>
      </c>
      <c r="B419" t="s">
        <v>385</v>
      </c>
      <c r="C419">
        <v>57</v>
      </c>
      <c r="D419">
        <v>1115.55</v>
      </c>
      <c r="E419" s="19">
        <v>45254</v>
      </c>
      <c r="F419">
        <v>1110.45</v>
      </c>
      <c r="G419" s="19">
        <v>45337</v>
      </c>
      <c r="H419">
        <v>-0.45717359150194159</v>
      </c>
    </row>
    <row r="420" spans="1:8" x14ac:dyDescent="0.25">
      <c r="A420" t="s">
        <v>68</v>
      </c>
      <c r="B420" t="s">
        <v>383</v>
      </c>
      <c r="C420">
        <v>6</v>
      </c>
      <c r="D420">
        <v>1061.8</v>
      </c>
      <c r="E420" s="19">
        <v>45245</v>
      </c>
      <c r="F420">
        <v>1096.75</v>
      </c>
      <c r="G420" s="19">
        <v>45252</v>
      </c>
      <c r="H420">
        <v>-3.2915803352797179</v>
      </c>
    </row>
    <row r="421" spans="1:8" x14ac:dyDescent="0.25">
      <c r="A421" t="s">
        <v>68</v>
      </c>
      <c r="B421" t="s">
        <v>385</v>
      </c>
      <c r="C421">
        <v>107</v>
      </c>
      <c r="D421">
        <v>815.6</v>
      </c>
      <c r="E421" s="19">
        <v>45086</v>
      </c>
      <c r="F421">
        <v>1045.6500000000001</v>
      </c>
      <c r="G421" s="19">
        <v>45242</v>
      </c>
      <c r="H421">
        <v>28.20622854340364</v>
      </c>
    </row>
    <row r="422" spans="1:8" x14ac:dyDescent="0.25">
      <c r="A422" t="s">
        <v>68</v>
      </c>
      <c r="B422" t="s">
        <v>383</v>
      </c>
      <c r="C422">
        <v>68</v>
      </c>
      <c r="D422">
        <v>828.95</v>
      </c>
      <c r="E422" s="19">
        <v>44981</v>
      </c>
      <c r="F422">
        <v>808.45</v>
      </c>
      <c r="G422" s="19">
        <v>45084</v>
      </c>
      <c r="H422">
        <v>2.4730080221967552</v>
      </c>
    </row>
    <row r="423" spans="1:8" x14ac:dyDescent="0.25">
      <c r="A423" t="s">
        <v>69</v>
      </c>
      <c r="B423" t="s">
        <v>383</v>
      </c>
      <c r="C423">
        <v>16</v>
      </c>
      <c r="D423">
        <v>11112.7</v>
      </c>
      <c r="E423" s="19">
        <v>45638</v>
      </c>
      <c r="F423">
        <v>10068.9</v>
      </c>
      <c r="G423" s="19">
        <v>45660</v>
      </c>
      <c r="H423">
        <v>9.3928568214745383</v>
      </c>
    </row>
    <row r="424" spans="1:8" x14ac:dyDescent="0.25">
      <c r="A424" t="s">
        <v>69</v>
      </c>
      <c r="B424" t="s">
        <v>385</v>
      </c>
      <c r="C424">
        <v>7</v>
      </c>
      <c r="D424">
        <v>11766.1</v>
      </c>
      <c r="E424" s="19">
        <v>45628</v>
      </c>
      <c r="F424">
        <v>11206.2</v>
      </c>
      <c r="G424" s="19">
        <v>45636</v>
      </c>
      <c r="H424">
        <v>-4.7585861075462521</v>
      </c>
    </row>
    <row r="425" spans="1:8" x14ac:dyDescent="0.25">
      <c r="A425" t="s">
        <v>69</v>
      </c>
      <c r="B425" t="s">
        <v>383</v>
      </c>
      <c r="C425">
        <v>38</v>
      </c>
      <c r="D425">
        <v>11303.3</v>
      </c>
      <c r="E425" s="19">
        <v>45569</v>
      </c>
      <c r="F425">
        <v>11915</v>
      </c>
      <c r="G425" s="19">
        <v>45624</v>
      </c>
      <c r="H425">
        <v>-5.4116939300912197</v>
      </c>
    </row>
    <row r="426" spans="1:8" x14ac:dyDescent="0.25">
      <c r="A426" t="s">
        <v>69</v>
      </c>
      <c r="B426" t="s">
        <v>385</v>
      </c>
      <c r="C426">
        <v>115</v>
      </c>
      <c r="D426">
        <v>9502.25</v>
      </c>
      <c r="E426" s="19">
        <v>45400</v>
      </c>
      <c r="F426">
        <v>11677.45</v>
      </c>
      <c r="G426" s="19">
        <v>45566</v>
      </c>
      <c r="H426">
        <v>22.8914204530506</v>
      </c>
    </row>
    <row r="427" spans="1:8" x14ac:dyDescent="0.25">
      <c r="A427" t="s">
        <v>69</v>
      </c>
      <c r="B427" t="s">
        <v>383</v>
      </c>
      <c r="C427">
        <v>46</v>
      </c>
      <c r="D427">
        <v>9035</v>
      </c>
      <c r="E427" s="19">
        <v>45329</v>
      </c>
      <c r="F427">
        <v>9145.25</v>
      </c>
      <c r="G427" s="19">
        <v>45397</v>
      </c>
      <c r="H427">
        <v>-1.220254565578307</v>
      </c>
    </row>
    <row r="428" spans="1:8" x14ac:dyDescent="0.25">
      <c r="A428" t="s">
        <v>69</v>
      </c>
      <c r="B428" t="s">
        <v>385</v>
      </c>
      <c r="C428">
        <v>19</v>
      </c>
      <c r="D428">
        <v>9119</v>
      </c>
      <c r="E428" s="19">
        <v>45300</v>
      </c>
      <c r="F428">
        <v>8951</v>
      </c>
      <c r="G428" s="19">
        <v>45327</v>
      </c>
      <c r="H428">
        <v>-1.84230727053405</v>
      </c>
    </row>
    <row r="429" spans="1:8" x14ac:dyDescent="0.25">
      <c r="A429" t="s">
        <v>69</v>
      </c>
      <c r="B429" t="s">
        <v>383</v>
      </c>
      <c r="C429">
        <v>9</v>
      </c>
      <c r="D429">
        <v>8983.7999999999993</v>
      </c>
      <c r="E429" s="19">
        <v>45286</v>
      </c>
      <c r="F429">
        <v>9260</v>
      </c>
      <c r="G429" s="19">
        <v>45296</v>
      </c>
      <c r="H429">
        <v>-3.074422850018931</v>
      </c>
    </row>
    <row r="430" spans="1:8" x14ac:dyDescent="0.25">
      <c r="A430" t="s">
        <v>69</v>
      </c>
      <c r="B430" t="s">
        <v>385</v>
      </c>
      <c r="C430">
        <v>11</v>
      </c>
      <c r="D430">
        <v>9384.15</v>
      </c>
      <c r="E430" s="19">
        <v>45267</v>
      </c>
      <c r="F430">
        <v>9000.0499999999993</v>
      </c>
      <c r="G430" s="19">
        <v>45281</v>
      </c>
      <c r="H430">
        <v>-4.0930718285619943</v>
      </c>
    </row>
    <row r="431" spans="1:8" x14ac:dyDescent="0.25">
      <c r="A431" t="s">
        <v>69</v>
      </c>
      <c r="B431" t="s">
        <v>383</v>
      </c>
      <c r="C431">
        <v>37</v>
      </c>
      <c r="D431">
        <v>9054</v>
      </c>
      <c r="E431" s="19">
        <v>45211</v>
      </c>
      <c r="F431">
        <v>9052</v>
      </c>
      <c r="G431" s="19">
        <v>45265</v>
      </c>
      <c r="H431">
        <v>2.2089684117517119E-2</v>
      </c>
    </row>
    <row r="432" spans="1:8" x14ac:dyDescent="0.25">
      <c r="A432" t="s">
        <v>69</v>
      </c>
      <c r="B432" t="s">
        <v>385</v>
      </c>
      <c r="C432">
        <v>3</v>
      </c>
      <c r="D432">
        <v>9320</v>
      </c>
      <c r="E432" s="19">
        <v>45205</v>
      </c>
      <c r="F432">
        <v>9119.65</v>
      </c>
      <c r="G432" s="19">
        <v>45209</v>
      </c>
      <c r="H432">
        <v>-2.1496781115879871</v>
      </c>
    </row>
    <row r="433" spans="1:8" x14ac:dyDescent="0.25">
      <c r="A433" t="s">
        <v>69</v>
      </c>
      <c r="B433" t="s">
        <v>383</v>
      </c>
      <c r="C433">
        <v>66</v>
      </c>
      <c r="D433">
        <v>9564.7999999999993</v>
      </c>
      <c r="E433" s="19">
        <v>45107</v>
      </c>
      <c r="F433">
        <v>9480</v>
      </c>
      <c r="G433" s="19">
        <v>45203</v>
      </c>
      <c r="H433">
        <v>0.88658414185345513</v>
      </c>
    </row>
    <row r="434" spans="1:8" x14ac:dyDescent="0.25">
      <c r="A434" t="s">
        <v>69</v>
      </c>
      <c r="B434" t="s">
        <v>385</v>
      </c>
      <c r="C434">
        <v>55</v>
      </c>
      <c r="D434">
        <v>9531.25</v>
      </c>
      <c r="E434" s="19">
        <v>45026</v>
      </c>
      <c r="F434">
        <v>9649.9500000000007</v>
      </c>
      <c r="G434" s="19">
        <v>45104</v>
      </c>
      <c r="H434">
        <v>1.245377049180336</v>
      </c>
    </row>
    <row r="435" spans="1:8" x14ac:dyDescent="0.25">
      <c r="A435" t="s">
        <v>70</v>
      </c>
      <c r="B435" t="s">
        <v>383</v>
      </c>
      <c r="C435">
        <v>61</v>
      </c>
      <c r="D435">
        <v>259.2</v>
      </c>
      <c r="E435" s="19">
        <v>45573</v>
      </c>
      <c r="F435">
        <v>218.68</v>
      </c>
      <c r="G435" s="19">
        <v>45660</v>
      </c>
      <c r="H435">
        <v>15.63271604938271</v>
      </c>
    </row>
    <row r="436" spans="1:8" x14ac:dyDescent="0.25">
      <c r="A436" t="s">
        <v>70</v>
      </c>
      <c r="B436" t="s">
        <v>385</v>
      </c>
      <c r="C436">
        <v>26</v>
      </c>
      <c r="D436">
        <v>290.10000000000002</v>
      </c>
      <c r="E436" s="19">
        <v>45533</v>
      </c>
      <c r="F436">
        <v>262.25</v>
      </c>
      <c r="G436" s="19">
        <v>45569</v>
      </c>
      <c r="H436">
        <v>-9.6001378834884594</v>
      </c>
    </row>
    <row r="437" spans="1:8" x14ac:dyDescent="0.25">
      <c r="A437" t="s">
        <v>70</v>
      </c>
      <c r="B437" t="s">
        <v>383</v>
      </c>
      <c r="C437">
        <v>120</v>
      </c>
      <c r="D437">
        <v>302.39999999999998</v>
      </c>
      <c r="E437" s="19">
        <v>45351</v>
      </c>
      <c r="F437">
        <v>283.45</v>
      </c>
      <c r="G437" s="19">
        <v>45531</v>
      </c>
      <c r="H437">
        <v>6.2665343915343881</v>
      </c>
    </row>
    <row r="438" spans="1:8" x14ac:dyDescent="0.25">
      <c r="A438" t="s">
        <v>70</v>
      </c>
      <c r="B438" t="s">
        <v>385</v>
      </c>
      <c r="C438">
        <v>237</v>
      </c>
      <c r="D438">
        <v>108.8</v>
      </c>
      <c r="E438" s="19">
        <v>45000</v>
      </c>
      <c r="F438">
        <v>321.64999999999998</v>
      </c>
      <c r="G438" s="19">
        <v>45349</v>
      </c>
      <c r="H438">
        <v>195.63419117647061</v>
      </c>
    </row>
    <row r="439" spans="1:8" x14ac:dyDescent="0.25">
      <c r="A439" t="s">
        <v>71</v>
      </c>
      <c r="B439" t="s">
        <v>383</v>
      </c>
      <c r="C439">
        <v>7</v>
      </c>
      <c r="D439">
        <v>1599.5</v>
      </c>
      <c r="E439" s="19">
        <v>45652</v>
      </c>
      <c r="F439">
        <v>1598.85</v>
      </c>
      <c r="G439" s="19">
        <v>45660</v>
      </c>
      <c r="H439">
        <v>4.0637699281031003E-2</v>
      </c>
    </row>
    <row r="440" spans="1:8" x14ac:dyDescent="0.25">
      <c r="A440" t="s">
        <v>71</v>
      </c>
      <c r="B440" t="s">
        <v>385</v>
      </c>
      <c r="C440">
        <v>5</v>
      </c>
      <c r="D440">
        <v>1615.3</v>
      </c>
      <c r="E440" s="19">
        <v>45643</v>
      </c>
      <c r="F440">
        <v>1586.9</v>
      </c>
      <c r="G440" s="19">
        <v>45649</v>
      </c>
      <c r="H440">
        <v>-1.7581873336222289</v>
      </c>
    </row>
    <row r="441" spans="1:8" x14ac:dyDescent="0.25">
      <c r="A441" t="s">
        <v>71</v>
      </c>
      <c r="B441" t="s">
        <v>383</v>
      </c>
      <c r="C441">
        <v>22</v>
      </c>
      <c r="D441">
        <v>1555.65</v>
      </c>
      <c r="E441" s="19">
        <v>45608</v>
      </c>
      <c r="F441">
        <v>1681.75</v>
      </c>
      <c r="G441" s="19">
        <v>45639</v>
      </c>
      <c r="H441">
        <v>-8.1059364252884585</v>
      </c>
    </row>
    <row r="442" spans="1:8" x14ac:dyDescent="0.25">
      <c r="A442" t="s">
        <v>71</v>
      </c>
      <c r="B442" t="s">
        <v>385</v>
      </c>
      <c r="C442">
        <v>384</v>
      </c>
      <c r="D442">
        <v>786.5</v>
      </c>
      <c r="E442" s="19">
        <v>45043</v>
      </c>
      <c r="F442">
        <v>1569.9</v>
      </c>
      <c r="G442" s="19">
        <v>45604</v>
      </c>
      <c r="H442">
        <v>99.605848696757803</v>
      </c>
    </row>
    <row r="443" spans="1:8" x14ac:dyDescent="0.25">
      <c r="A443" t="s">
        <v>72</v>
      </c>
      <c r="B443" t="s">
        <v>385</v>
      </c>
      <c r="C443">
        <v>40</v>
      </c>
      <c r="D443">
        <v>417.85</v>
      </c>
      <c r="E443" s="19">
        <v>45602</v>
      </c>
      <c r="F443">
        <v>505.5</v>
      </c>
      <c r="G443" s="19">
        <v>45660</v>
      </c>
      <c r="H443">
        <v>20.976426947469179</v>
      </c>
    </row>
    <row r="444" spans="1:8" x14ac:dyDescent="0.25">
      <c r="A444" t="s">
        <v>72</v>
      </c>
      <c r="B444" t="s">
        <v>383</v>
      </c>
      <c r="C444">
        <v>22</v>
      </c>
      <c r="D444">
        <v>354.5</v>
      </c>
      <c r="E444" s="19">
        <v>45569</v>
      </c>
      <c r="F444">
        <v>402.1</v>
      </c>
      <c r="G444" s="19">
        <v>45600</v>
      </c>
      <c r="H444">
        <v>-13.42736248236954</v>
      </c>
    </row>
    <row r="445" spans="1:8" x14ac:dyDescent="0.25">
      <c r="A445" t="s">
        <v>72</v>
      </c>
      <c r="B445" t="s">
        <v>385</v>
      </c>
      <c r="C445">
        <v>72</v>
      </c>
      <c r="D445">
        <v>366.75</v>
      </c>
      <c r="E445" s="19">
        <v>45463</v>
      </c>
      <c r="F445">
        <v>374.95</v>
      </c>
      <c r="G445" s="19">
        <v>45566</v>
      </c>
      <c r="H445">
        <v>2.2358554873892271</v>
      </c>
    </row>
    <row r="446" spans="1:8" x14ac:dyDescent="0.25">
      <c r="A446" t="s">
        <v>72</v>
      </c>
      <c r="B446" t="s">
        <v>383</v>
      </c>
      <c r="C446">
        <v>63</v>
      </c>
      <c r="D446">
        <v>343.15</v>
      </c>
      <c r="E446" s="19">
        <v>45365</v>
      </c>
      <c r="F446">
        <v>358.55</v>
      </c>
      <c r="G446" s="19">
        <v>45461</v>
      </c>
      <c r="H446">
        <v>-4.4878333090485309</v>
      </c>
    </row>
    <row r="447" spans="1:8" x14ac:dyDescent="0.25">
      <c r="A447" t="s">
        <v>72</v>
      </c>
      <c r="B447" t="s">
        <v>385</v>
      </c>
      <c r="C447">
        <v>88</v>
      </c>
      <c r="D447">
        <v>276.2</v>
      </c>
      <c r="E447" s="19">
        <v>45237</v>
      </c>
      <c r="F447">
        <v>328.65</v>
      </c>
      <c r="G447" s="19">
        <v>45363</v>
      </c>
      <c r="H447">
        <v>18.989862418537289</v>
      </c>
    </row>
    <row r="448" spans="1:8" x14ac:dyDescent="0.25">
      <c r="A448" t="s">
        <v>72</v>
      </c>
      <c r="B448" t="s">
        <v>383</v>
      </c>
      <c r="C448">
        <v>15</v>
      </c>
      <c r="D448">
        <v>250.1</v>
      </c>
      <c r="E448" s="19">
        <v>45212</v>
      </c>
      <c r="F448">
        <v>277.55</v>
      </c>
      <c r="G448" s="19">
        <v>45233</v>
      </c>
      <c r="H448">
        <v>-10.975609756097571</v>
      </c>
    </row>
    <row r="449" spans="1:8" x14ac:dyDescent="0.25">
      <c r="A449" t="s">
        <v>72</v>
      </c>
      <c r="B449" t="s">
        <v>385</v>
      </c>
      <c r="C449">
        <v>120</v>
      </c>
      <c r="D449">
        <v>167.7</v>
      </c>
      <c r="E449" s="19">
        <v>45036</v>
      </c>
      <c r="F449">
        <v>250</v>
      </c>
      <c r="G449" s="19">
        <v>45210</v>
      </c>
      <c r="H449">
        <v>49.075730471079318</v>
      </c>
    </row>
    <row r="450" spans="1:8" x14ac:dyDescent="0.25">
      <c r="A450" t="s">
        <v>73</v>
      </c>
      <c r="B450" t="s">
        <v>383</v>
      </c>
      <c r="C450">
        <v>47</v>
      </c>
      <c r="D450">
        <v>7639.5</v>
      </c>
      <c r="E450" s="19">
        <v>45593</v>
      </c>
      <c r="F450">
        <v>6829.1</v>
      </c>
      <c r="G450" s="19">
        <v>45660</v>
      </c>
      <c r="H450">
        <v>10.608024085345891</v>
      </c>
    </row>
    <row r="451" spans="1:8" x14ac:dyDescent="0.25">
      <c r="A451" t="s">
        <v>73</v>
      </c>
      <c r="B451" t="s">
        <v>385</v>
      </c>
      <c r="C451">
        <v>123</v>
      </c>
      <c r="D451">
        <v>6311.3</v>
      </c>
      <c r="E451" s="19">
        <v>45412</v>
      </c>
      <c r="F451">
        <v>7818.7</v>
      </c>
      <c r="G451" s="19">
        <v>45589</v>
      </c>
      <c r="H451">
        <v>23.88414431258219</v>
      </c>
    </row>
    <row r="452" spans="1:8" x14ac:dyDescent="0.25">
      <c r="A452" t="s">
        <v>73</v>
      </c>
      <c r="B452" t="s">
        <v>383</v>
      </c>
      <c r="C452">
        <v>61</v>
      </c>
      <c r="D452">
        <v>6560</v>
      </c>
      <c r="E452" s="19">
        <v>45320</v>
      </c>
      <c r="F452">
        <v>6318.75</v>
      </c>
      <c r="G452" s="19">
        <v>45408</v>
      </c>
      <c r="H452">
        <v>3.6775914634146338</v>
      </c>
    </row>
    <row r="453" spans="1:8" x14ac:dyDescent="0.25">
      <c r="A453" t="s">
        <v>73</v>
      </c>
      <c r="B453" t="s">
        <v>385</v>
      </c>
      <c r="C453">
        <v>51</v>
      </c>
      <c r="D453">
        <v>6770</v>
      </c>
      <c r="E453" s="19">
        <v>45242</v>
      </c>
      <c r="F453">
        <v>6875.05</v>
      </c>
      <c r="G453" s="19">
        <v>45315</v>
      </c>
      <c r="H453">
        <v>1.5516986706056159</v>
      </c>
    </row>
    <row r="454" spans="1:8" x14ac:dyDescent="0.25">
      <c r="A454" t="s">
        <v>73</v>
      </c>
      <c r="B454" t="s">
        <v>383</v>
      </c>
      <c r="C454">
        <v>9</v>
      </c>
      <c r="D454">
        <v>6406.55</v>
      </c>
      <c r="E454" s="19">
        <v>45229</v>
      </c>
      <c r="F454">
        <v>6709</v>
      </c>
      <c r="G454" s="19">
        <v>45239</v>
      </c>
      <c r="H454">
        <v>-4.7209496530894128</v>
      </c>
    </row>
    <row r="455" spans="1:8" x14ac:dyDescent="0.25">
      <c r="A455" t="s">
        <v>73</v>
      </c>
      <c r="B455" t="s">
        <v>385</v>
      </c>
      <c r="C455">
        <v>23</v>
      </c>
      <c r="D455">
        <v>6790.05</v>
      </c>
      <c r="E455" s="19">
        <v>45191</v>
      </c>
      <c r="F455">
        <v>6449.65</v>
      </c>
      <c r="G455" s="19">
        <v>45225</v>
      </c>
      <c r="H455">
        <v>-5.0132178702660593</v>
      </c>
    </row>
    <row r="456" spans="1:8" x14ac:dyDescent="0.25">
      <c r="A456" t="s">
        <v>73</v>
      </c>
      <c r="B456" t="s">
        <v>383</v>
      </c>
      <c r="C456">
        <v>29</v>
      </c>
      <c r="D456">
        <v>6286</v>
      </c>
      <c r="E456" s="19">
        <v>45147</v>
      </c>
      <c r="F456">
        <v>6801.75</v>
      </c>
      <c r="G456" s="19">
        <v>45189</v>
      </c>
      <c r="H456">
        <v>-8.2047406936048368</v>
      </c>
    </row>
    <row r="457" spans="1:8" x14ac:dyDescent="0.25">
      <c r="A457" t="s">
        <v>73</v>
      </c>
      <c r="B457" t="s">
        <v>385</v>
      </c>
      <c r="C457">
        <v>43</v>
      </c>
      <c r="D457">
        <v>6374.1</v>
      </c>
      <c r="E457" s="19">
        <v>45084</v>
      </c>
      <c r="F457">
        <v>6432</v>
      </c>
      <c r="G457" s="19">
        <v>45145</v>
      </c>
      <c r="H457">
        <v>0.90836353367533662</v>
      </c>
    </row>
    <row r="458" spans="1:8" x14ac:dyDescent="0.25">
      <c r="A458" t="s">
        <v>73</v>
      </c>
      <c r="B458" t="s">
        <v>383</v>
      </c>
      <c r="C458">
        <v>149</v>
      </c>
      <c r="D458">
        <v>7943.5</v>
      </c>
      <c r="E458" s="19">
        <v>44862</v>
      </c>
      <c r="F458">
        <v>6277.6</v>
      </c>
      <c r="G458" s="19">
        <v>45082</v>
      </c>
      <c r="H458">
        <v>20.971863788002761</v>
      </c>
    </row>
    <row r="459" spans="1:8" x14ac:dyDescent="0.25">
      <c r="A459" t="s">
        <v>74</v>
      </c>
      <c r="B459" t="s">
        <v>385</v>
      </c>
      <c r="C459">
        <v>19</v>
      </c>
      <c r="D459">
        <v>2106.3000000000002</v>
      </c>
      <c r="E459" s="19">
        <v>45635</v>
      </c>
      <c r="F459">
        <v>2337.5500000000002</v>
      </c>
      <c r="G459" s="19">
        <v>45660</v>
      </c>
      <c r="H459">
        <v>10.978967858329771</v>
      </c>
    </row>
    <row r="460" spans="1:8" x14ac:dyDescent="0.25">
      <c r="A460" t="s">
        <v>74</v>
      </c>
      <c r="B460" t="s">
        <v>383</v>
      </c>
      <c r="C460">
        <v>17</v>
      </c>
      <c r="D460">
        <v>1795.05</v>
      </c>
      <c r="E460" s="19">
        <v>45607</v>
      </c>
      <c r="F460">
        <v>1965.95</v>
      </c>
      <c r="G460" s="19">
        <v>45631</v>
      </c>
      <c r="H460">
        <v>-9.5206261664020548</v>
      </c>
    </row>
    <row r="461" spans="1:8" x14ac:dyDescent="0.25">
      <c r="A461" t="s">
        <v>74</v>
      </c>
      <c r="B461" t="s">
        <v>385</v>
      </c>
      <c r="C461">
        <v>288</v>
      </c>
      <c r="D461">
        <v>782.15</v>
      </c>
      <c r="E461" s="19">
        <v>45181</v>
      </c>
      <c r="F461">
        <v>1778.55</v>
      </c>
      <c r="G461" s="19">
        <v>45603</v>
      </c>
      <c r="H461">
        <v>127.3924439046219</v>
      </c>
    </row>
    <row r="462" spans="1:8" x14ac:dyDescent="0.25">
      <c r="A462" t="s">
        <v>74</v>
      </c>
      <c r="B462" t="s">
        <v>383</v>
      </c>
      <c r="C462">
        <v>19</v>
      </c>
      <c r="D462">
        <v>740</v>
      </c>
      <c r="E462" s="19">
        <v>45152</v>
      </c>
      <c r="F462">
        <v>807.1</v>
      </c>
      <c r="G462" s="19">
        <v>45177</v>
      </c>
      <c r="H462">
        <v>-9.0675675675675702</v>
      </c>
    </row>
    <row r="463" spans="1:8" x14ac:dyDescent="0.25">
      <c r="A463" t="s">
        <v>74</v>
      </c>
      <c r="B463" t="s">
        <v>385</v>
      </c>
      <c r="C463">
        <v>51</v>
      </c>
      <c r="D463">
        <v>720.95</v>
      </c>
      <c r="E463" s="19">
        <v>45077</v>
      </c>
      <c r="F463">
        <v>749.8</v>
      </c>
      <c r="G463" s="19">
        <v>45148</v>
      </c>
      <c r="H463">
        <v>4.0016644704903124</v>
      </c>
    </row>
    <row r="464" spans="1:8" x14ac:dyDescent="0.25">
      <c r="A464" t="s">
        <v>74</v>
      </c>
      <c r="B464" t="s">
        <v>383</v>
      </c>
      <c r="C464">
        <v>4</v>
      </c>
      <c r="D464">
        <v>718</v>
      </c>
      <c r="E464" s="19">
        <v>45070</v>
      </c>
      <c r="F464">
        <v>735.63</v>
      </c>
      <c r="G464" s="19">
        <v>45075</v>
      </c>
      <c r="H464">
        <v>-2.4554317548746512</v>
      </c>
    </row>
    <row r="465" spans="1:8" x14ac:dyDescent="0.25">
      <c r="A465" t="s">
        <v>74</v>
      </c>
      <c r="B465" t="s">
        <v>385</v>
      </c>
      <c r="C465">
        <v>198</v>
      </c>
      <c r="D465">
        <v>480.38</v>
      </c>
      <c r="E465" s="19">
        <v>44774</v>
      </c>
      <c r="F465">
        <v>705.93</v>
      </c>
      <c r="G465" s="19">
        <v>45068</v>
      </c>
      <c r="H465">
        <v>46.952412673300287</v>
      </c>
    </row>
    <row r="466" spans="1:8" x14ac:dyDescent="0.25">
      <c r="A466" t="s">
        <v>75</v>
      </c>
      <c r="B466" t="s">
        <v>383</v>
      </c>
      <c r="C466">
        <v>28</v>
      </c>
      <c r="D466">
        <v>2516</v>
      </c>
      <c r="E466" s="19">
        <v>45622</v>
      </c>
      <c r="F466">
        <v>2193.85</v>
      </c>
      <c r="G466" s="19">
        <v>45660</v>
      </c>
      <c r="H466">
        <v>12.80405405405406</v>
      </c>
    </row>
    <row r="467" spans="1:8" x14ac:dyDescent="0.25">
      <c r="A467" t="s">
        <v>75</v>
      </c>
      <c r="B467" t="s">
        <v>385</v>
      </c>
      <c r="C467">
        <v>109</v>
      </c>
      <c r="D467">
        <v>1641.4</v>
      </c>
      <c r="E467" s="19">
        <v>45461</v>
      </c>
      <c r="F467">
        <v>2463.4499999999998</v>
      </c>
      <c r="G467" s="19">
        <v>45618</v>
      </c>
      <c r="H467">
        <v>50.082246862434488</v>
      </c>
    </row>
    <row r="468" spans="1:8" x14ac:dyDescent="0.25">
      <c r="A468" t="s">
        <v>75</v>
      </c>
      <c r="B468" t="s">
        <v>383</v>
      </c>
      <c r="C468">
        <v>55</v>
      </c>
      <c r="D468">
        <v>1574.8</v>
      </c>
      <c r="E468" s="19">
        <v>45373</v>
      </c>
      <c r="F468">
        <v>1652.7</v>
      </c>
      <c r="G468" s="19">
        <v>45456</v>
      </c>
      <c r="H468">
        <v>-4.9466598933197918</v>
      </c>
    </row>
    <row r="469" spans="1:8" x14ac:dyDescent="0.25">
      <c r="A469" t="s">
        <v>75</v>
      </c>
      <c r="B469" t="s">
        <v>385</v>
      </c>
      <c r="C469">
        <v>132</v>
      </c>
      <c r="D469">
        <v>1243.6500000000001</v>
      </c>
      <c r="E469" s="19">
        <v>45180</v>
      </c>
      <c r="F469">
        <v>1540.75</v>
      </c>
      <c r="G469" s="19">
        <v>45371</v>
      </c>
      <c r="H469">
        <v>23.88935793832669</v>
      </c>
    </row>
    <row r="470" spans="1:8" x14ac:dyDescent="0.25">
      <c r="A470" t="s">
        <v>75</v>
      </c>
      <c r="B470" t="s">
        <v>383</v>
      </c>
      <c r="C470">
        <v>15</v>
      </c>
      <c r="D470">
        <v>988.75</v>
      </c>
      <c r="E470" s="19">
        <v>45156</v>
      </c>
      <c r="F470">
        <v>1107.1500000000001</v>
      </c>
      <c r="G470" s="19">
        <v>45176</v>
      </c>
      <c r="H470">
        <v>-11.9747155499368</v>
      </c>
    </row>
    <row r="471" spans="1:8" x14ac:dyDescent="0.25">
      <c r="A471" t="s">
        <v>75</v>
      </c>
      <c r="B471" t="s">
        <v>385</v>
      </c>
      <c r="C471">
        <v>80</v>
      </c>
      <c r="D471">
        <v>977.85</v>
      </c>
      <c r="E471" s="19">
        <v>45040</v>
      </c>
      <c r="F471">
        <v>999</v>
      </c>
      <c r="G471" s="19">
        <v>45154</v>
      </c>
      <c r="H471">
        <v>2.1629084215370429</v>
      </c>
    </row>
    <row r="472" spans="1:8" x14ac:dyDescent="0.25">
      <c r="A472" t="s">
        <v>76</v>
      </c>
      <c r="B472" t="s">
        <v>383</v>
      </c>
      <c r="C472">
        <v>8</v>
      </c>
      <c r="D472">
        <v>396.1</v>
      </c>
      <c r="E472" s="19">
        <v>45650</v>
      </c>
      <c r="F472">
        <v>414.35</v>
      </c>
      <c r="G472" s="19">
        <v>45660</v>
      </c>
      <c r="H472">
        <v>-4.6074223680888666</v>
      </c>
    </row>
    <row r="473" spans="1:8" x14ac:dyDescent="0.25">
      <c r="A473" t="s">
        <v>76</v>
      </c>
      <c r="B473" t="s">
        <v>385</v>
      </c>
      <c r="C473">
        <v>116</v>
      </c>
      <c r="D473">
        <v>383.35</v>
      </c>
      <c r="E473" s="19">
        <v>45478</v>
      </c>
      <c r="F473">
        <v>419.4</v>
      </c>
      <c r="G473" s="19">
        <v>45646</v>
      </c>
      <c r="H473">
        <v>9.4039389591756759</v>
      </c>
    </row>
    <row r="474" spans="1:8" x14ac:dyDescent="0.25">
      <c r="A474" t="s">
        <v>76</v>
      </c>
      <c r="B474" t="s">
        <v>383</v>
      </c>
      <c r="C474">
        <v>55</v>
      </c>
      <c r="D474">
        <v>362.2</v>
      </c>
      <c r="E474" s="19">
        <v>45397</v>
      </c>
      <c r="F474">
        <v>382.35</v>
      </c>
      <c r="G474" s="19">
        <v>45476</v>
      </c>
      <c r="H474">
        <v>-5.5632247377139796</v>
      </c>
    </row>
    <row r="475" spans="1:8" x14ac:dyDescent="0.25">
      <c r="A475" t="s">
        <v>76</v>
      </c>
      <c r="B475" t="s">
        <v>385</v>
      </c>
      <c r="C475">
        <v>37</v>
      </c>
      <c r="D475">
        <v>401.2</v>
      </c>
      <c r="E475" s="19">
        <v>45338</v>
      </c>
      <c r="F475">
        <v>373.6</v>
      </c>
      <c r="G475" s="19">
        <v>45392</v>
      </c>
      <c r="H475">
        <v>-6.8793619142572204</v>
      </c>
    </row>
    <row r="476" spans="1:8" x14ac:dyDescent="0.25">
      <c r="A476" t="s">
        <v>76</v>
      </c>
      <c r="B476" t="s">
        <v>383</v>
      </c>
      <c r="C476">
        <v>47</v>
      </c>
      <c r="D476">
        <v>352</v>
      </c>
      <c r="E476" s="19">
        <v>45268</v>
      </c>
      <c r="F476">
        <v>398.3</v>
      </c>
      <c r="G476" s="19">
        <v>45336</v>
      </c>
      <c r="H476">
        <v>-13.15340909090909</v>
      </c>
    </row>
    <row r="477" spans="1:8" x14ac:dyDescent="0.25">
      <c r="A477" t="s">
        <v>76</v>
      </c>
      <c r="B477" t="s">
        <v>385</v>
      </c>
      <c r="C477">
        <v>5</v>
      </c>
      <c r="D477">
        <v>422.3</v>
      </c>
      <c r="E477" s="19">
        <v>45260</v>
      </c>
      <c r="F477">
        <v>364.7</v>
      </c>
      <c r="G477" s="19">
        <v>45266</v>
      </c>
      <c r="H477">
        <v>-13.639592706606679</v>
      </c>
    </row>
    <row r="478" spans="1:8" x14ac:dyDescent="0.25">
      <c r="A478" t="s">
        <v>76</v>
      </c>
      <c r="B478" t="s">
        <v>383</v>
      </c>
      <c r="C478">
        <v>53</v>
      </c>
      <c r="D478">
        <v>418.55</v>
      </c>
      <c r="E478" s="19">
        <v>45180</v>
      </c>
      <c r="F478">
        <v>414.3</v>
      </c>
      <c r="G478" s="19">
        <v>45258</v>
      </c>
      <c r="H478">
        <v>1.0154103452395169</v>
      </c>
    </row>
    <row r="479" spans="1:8" x14ac:dyDescent="0.25">
      <c r="A479" t="s">
        <v>76</v>
      </c>
      <c r="B479" t="s">
        <v>385</v>
      </c>
      <c r="C479">
        <v>102</v>
      </c>
      <c r="D479">
        <v>373.15</v>
      </c>
      <c r="E479" s="19">
        <v>45029</v>
      </c>
      <c r="F479">
        <v>420.05</v>
      </c>
      <c r="G479" s="19">
        <v>45176</v>
      </c>
      <c r="H479">
        <v>12.56867211577115</v>
      </c>
    </row>
    <row r="480" spans="1:8" x14ac:dyDescent="0.25">
      <c r="A480" t="s">
        <v>77</v>
      </c>
      <c r="B480" t="s">
        <v>383</v>
      </c>
      <c r="C480">
        <v>48</v>
      </c>
      <c r="D480">
        <v>5669.4</v>
      </c>
      <c r="E480" s="19">
        <v>45590</v>
      </c>
      <c r="F480">
        <v>4834.1000000000004</v>
      </c>
      <c r="G480" s="19">
        <v>45660</v>
      </c>
      <c r="H480">
        <v>14.733481497160181</v>
      </c>
    </row>
    <row r="481" spans="1:8" x14ac:dyDescent="0.25">
      <c r="A481" t="s">
        <v>77</v>
      </c>
      <c r="B481" t="s">
        <v>385</v>
      </c>
      <c r="C481">
        <v>116</v>
      </c>
      <c r="D481">
        <v>5070.1000000000004</v>
      </c>
      <c r="E481" s="19">
        <v>45421</v>
      </c>
      <c r="F481">
        <v>5748.85</v>
      </c>
      <c r="G481" s="19">
        <v>45588</v>
      </c>
      <c r="H481">
        <v>13.38730991499181</v>
      </c>
    </row>
    <row r="482" spans="1:8" x14ac:dyDescent="0.25">
      <c r="A482" t="s">
        <v>77</v>
      </c>
      <c r="B482" t="s">
        <v>383</v>
      </c>
      <c r="C482">
        <v>51</v>
      </c>
      <c r="D482">
        <v>4921.1499999999996</v>
      </c>
      <c r="E482" s="19">
        <v>45342</v>
      </c>
      <c r="F482">
        <v>5173.8500000000004</v>
      </c>
      <c r="G482" s="19">
        <v>45419</v>
      </c>
      <c r="H482">
        <v>-5.1349786127226507</v>
      </c>
    </row>
    <row r="483" spans="1:8" x14ac:dyDescent="0.25">
      <c r="A483" t="s">
        <v>77</v>
      </c>
      <c r="B483" t="s">
        <v>385</v>
      </c>
      <c r="C483">
        <v>66</v>
      </c>
      <c r="D483">
        <v>4696.3500000000004</v>
      </c>
      <c r="E483" s="19">
        <v>45243</v>
      </c>
      <c r="F483">
        <v>4913.7</v>
      </c>
      <c r="G483" s="19">
        <v>45338</v>
      </c>
      <c r="H483">
        <v>4.6280622185314009</v>
      </c>
    </row>
    <row r="484" spans="1:8" x14ac:dyDescent="0.25">
      <c r="A484" t="s">
        <v>77</v>
      </c>
      <c r="B484" t="s">
        <v>383</v>
      </c>
      <c r="C484">
        <v>64</v>
      </c>
      <c r="D484">
        <v>4602.95</v>
      </c>
      <c r="E484" s="19">
        <v>45147</v>
      </c>
      <c r="F484">
        <v>4681.95</v>
      </c>
      <c r="G484" s="19">
        <v>45240</v>
      </c>
      <c r="H484">
        <v>-1.716290639698455</v>
      </c>
    </row>
    <row r="485" spans="1:8" x14ac:dyDescent="0.25">
      <c r="A485" t="s">
        <v>77</v>
      </c>
      <c r="B485" t="s">
        <v>385</v>
      </c>
      <c r="C485">
        <v>69</v>
      </c>
      <c r="D485">
        <v>4511.05</v>
      </c>
      <c r="E485" s="19">
        <v>45048</v>
      </c>
      <c r="F485">
        <v>4670</v>
      </c>
      <c r="G485" s="19">
        <v>45145</v>
      </c>
      <c r="H485">
        <v>3.523569900577467</v>
      </c>
    </row>
    <row r="486" spans="1:8" x14ac:dyDescent="0.25">
      <c r="A486" t="s">
        <v>78</v>
      </c>
      <c r="B486" t="s">
        <v>385</v>
      </c>
      <c r="C486">
        <v>282</v>
      </c>
      <c r="D486">
        <v>2839.7</v>
      </c>
      <c r="E486" s="19">
        <v>45246</v>
      </c>
      <c r="F486">
        <v>5096.05</v>
      </c>
      <c r="G486" s="19">
        <v>45660</v>
      </c>
      <c r="H486">
        <v>79.457337042645378</v>
      </c>
    </row>
    <row r="487" spans="1:8" x14ac:dyDescent="0.25">
      <c r="A487" t="s">
        <v>78</v>
      </c>
      <c r="B487" t="s">
        <v>383</v>
      </c>
      <c r="C487">
        <v>11</v>
      </c>
      <c r="D487">
        <v>2246.9</v>
      </c>
      <c r="E487" s="19">
        <v>45230</v>
      </c>
      <c r="F487">
        <v>2683.1</v>
      </c>
      <c r="G487" s="19">
        <v>45243</v>
      </c>
      <c r="H487">
        <v>-19.4134140371178</v>
      </c>
    </row>
    <row r="488" spans="1:8" x14ac:dyDescent="0.25">
      <c r="A488" t="s">
        <v>78</v>
      </c>
      <c r="B488" t="s">
        <v>385</v>
      </c>
      <c r="C488">
        <v>101</v>
      </c>
      <c r="D488">
        <v>2197.15</v>
      </c>
      <c r="E488" s="19">
        <v>45079</v>
      </c>
      <c r="F488">
        <v>2303.75</v>
      </c>
      <c r="G488" s="19">
        <v>45226</v>
      </c>
      <c r="H488">
        <v>4.8517397537719278</v>
      </c>
    </row>
    <row r="489" spans="1:8" x14ac:dyDescent="0.25">
      <c r="A489" t="s">
        <v>78</v>
      </c>
      <c r="B489" t="s">
        <v>383</v>
      </c>
      <c r="C489">
        <v>50</v>
      </c>
      <c r="D489">
        <v>2164.6</v>
      </c>
      <c r="E489" s="19">
        <v>45001</v>
      </c>
      <c r="F489">
        <v>2216.9</v>
      </c>
      <c r="G489" s="19">
        <v>45077</v>
      </c>
      <c r="H489">
        <v>-2.4161507899843011</v>
      </c>
    </row>
    <row r="490" spans="1:8" x14ac:dyDescent="0.25">
      <c r="A490" t="s">
        <v>79</v>
      </c>
      <c r="B490" t="s">
        <v>385</v>
      </c>
      <c r="C490">
        <v>141</v>
      </c>
      <c r="D490">
        <v>1461.85</v>
      </c>
      <c r="E490" s="19">
        <v>45455</v>
      </c>
      <c r="F490">
        <v>2537.5500000000002</v>
      </c>
      <c r="G490" s="19">
        <v>45660</v>
      </c>
      <c r="H490">
        <v>73.584841125970541</v>
      </c>
    </row>
    <row r="491" spans="1:8" x14ac:dyDescent="0.25">
      <c r="A491" t="s">
        <v>79</v>
      </c>
      <c r="B491" t="s">
        <v>383</v>
      </c>
      <c r="C491">
        <v>58</v>
      </c>
      <c r="D491">
        <v>1280.05</v>
      </c>
      <c r="E491" s="19">
        <v>45365</v>
      </c>
      <c r="F491">
        <v>1475.9</v>
      </c>
      <c r="G491" s="19">
        <v>45453</v>
      </c>
      <c r="H491">
        <v>-15.30018358657866</v>
      </c>
    </row>
    <row r="492" spans="1:8" x14ac:dyDescent="0.25">
      <c r="A492" t="s">
        <v>79</v>
      </c>
      <c r="B492" t="s">
        <v>385</v>
      </c>
      <c r="C492">
        <v>216</v>
      </c>
      <c r="D492">
        <v>677.95</v>
      </c>
      <c r="E492" s="19">
        <v>45050</v>
      </c>
      <c r="F492">
        <v>1312.25</v>
      </c>
      <c r="G492" s="19">
        <v>45363</v>
      </c>
      <c r="H492">
        <v>93.561472084962006</v>
      </c>
    </row>
    <row r="493" spans="1:8" x14ac:dyDescent="0.25">
      <c r="A493" t="s">
        <v>80</v>
      </c>
      <c r="B493" t="s">
        <v>383</v>
      </c>
      <c r="C493">
        <v>99</v>
      </c>
      <c r="D493">
        <v>1544.65</v>
      </c>
      <c r="E493" s="19">
        <v>45517</v>
      </c>
      <c r="F493">
        <v>1299.7</v>
      </c>
      <c r="G493" s="19">
        <v>45660</v>
      </c>
      <c r="H493">
        <v>15.85796135046775</v>
      </c>
    </row>
    <row r="494" spans="1:8" x14ac:dyDescent="0.25">
      <c r="A494" t="s">
        <v>80</v>
      </c>
      <c r="B494" t="s">
        <v>385</v>
      </c>
      <c r="C494">
        <v>93</v>
      </c>
      <c r="D494">
        <v>1234.9000000000001</v>
      </c>
      <c r="E494" s="19">
        <v>45377</v>
      </c>
      <c r="F494">
        <v>1524.15</v>
      </c>
      <c r="G494" s="19">
        <v>45513</v>
      </c>
      <c r="H494">
        <v>23.42294922665803</v>
      </c>
    </row>
    <row r="495" spans="1:8" x14ac:dyDescent="0.25">
      <c r="A495" t="s">
        <v>80</v>
      </c>
      <c r="B495" t="s">
        <v>383</v>
      </c>
      <c r="C495">
        <v>37</v>
      </c>
      <c r="D495">
        <v>1124.6500000000001</v>
      </c>
      <c r="E495" s="19">
        <v>45322</v>
      </c>
      <c r="F495">
        <v>1155.5</v>
      </c>
      <c r="G495" s="19">
        <v>45372</v>
      </c>
      <c r="H495">
        <v>-2.7430756235273108</v>
      </c>
    </row>
    <row r="496" spans="1:8" x14ac:dyDescent="0.25">
      <c r="A496" t="s">
        <v>80</v>
      </c>
      <c r="B496" t="s">
        <v>385</v>
      </c>
      <c r="C496">
        <v>2</v>
      </c>
      <c r="D496">
        <v>1149.5</v>
      </c>
      <c r="E496" s="19">
        <v>45316</v>
      </c>
      <c r="F496">
        <v>1138.95</v>
      </c>
      <c r="G496" s="19">
        <v>45320</v>
      </c>
      <c r="H496">
        <v>-0.91779034362766032</v>
      </c>
    </row>
    <row r="497" spans="1:8" x14ac:dyDescent="0.25">
      <c r="A497" t="s">
        <v>80</v>
      </c>
      <c r="B497" t="s">
        <v>383</v>
      </c>
      <c r="C497">
        <v>0</v>
      </c>
      <c r="D497">
        <v>775.25</v>
      </c>
      <c r="E497" s="19">
        <v>44664</v>
      </c>
      <c r="F497">
        <v>1122</v>
      </c>
      <c r="G497" s="19">
        <v>45314</v>
      </c>
      <c r="H497">
        <v>-44.727507255723957</v>
      </c>
    </row>
    <row r="498" spans="1:8" x14ac:dyDescent="0.25">
      <c r="A498" t="s">
        <v>80</v>
      </c>
      <c r="B498" t="s">
        <v>385</v>
      </c>
      <c r="C498">
        <v>5</v>
      </c>
      <c r="D498">
        <v>1158.45</v>
      </c>
      <c r="E498" s="19">
        <v>45307</v>
      </c>
      <c r="F498">
        <v>1130</v>
      </c>
      <c r="G498" s="19">
        <v>45311</v>
      </c>
      <c r="H498">
        <v>-2.4558677543269058</v>
      </c>
    </row>
    <row r="499" spans="1:8" x14ac:dyDescent="0.25">
      <c r="A499" t="s">
        <v>80</v>
      </c>
      <c r="B499" t="s">
        <v>383</v>
      </c>
      <c r="C499">
        <v>11</v>
      </c>
      <c r="D499">
        <v>1113.4000000000001</v>
      </c>
      <c r="E499" s="19">
        <v>45289</v>
      </c>
      <c r="F499">
        <v>1164.45</v>
      </c>
      <c r="G499" s="19">
        <v>45303</v>
      </c>
      <c r="H499">
        <v>-4.5850547871384899</v>
      </c>
    </row>
    <row r="500" spans="1:8" x14ac:dyDescent="0.25">
      <c r="A500" t="s">
        <v>80</v>
      </c>
      <c r="B500" t="s">
        <v>385</v>
      </c>
      <c r="C500">
        <v>16</v>
      </c>
      <c r="D500">
        <v>1192.7</v>
      </c>
      <c r="E500" s="19">
        <v>45265</v>
      </c>
      <c r="F500">
        <v>1110</v>
      </c>
      <c r="G500" s="19">
        <v>45287</v>
      </c>
      <c r="H500">
        <v>-6.9338475727341367</v>
      </c>
    </row>
    <row r="501" spans="1:8" x14ac:dyDescent="0.25">
      <c r="A501" t="s">
        <v>80</v>
      </c>
      <c r="B501" t="s">
        <v>383</v>
      </c>
      <c r="C501">
        <v>32</v>
      </c>
      <c r="D501">
        <v>1173.05</v>
      </c>
      <c r="E501" s="19">
        <v>45216</v>
      </c>
      <c r="F501">
        <v>1161.5</v>
      </c>
      <c r="G501" s="19">
        <v>45261</v>
      </c>
      <c r="H501">
        <v>0.98461276160436084</v>
      </c>
    </row>
    <row r="502" spans="1:8" x14ac:dyDescent="0.25">
      <c r="A502" t="s">
        <v>80</v>
      </c>
      <c r="B502" t="s">
        <v>385</v>
      </c>
      <c r="C502">
        <v>22</v>
      </c>
      <c r="D502">
        <v>1191.75</v>
      </c>
      <c r="E502" s="19">
        <v>45181</v>
      </c>
      <c r="F502">
        <v>1167.8499999999999</v>
      </c>
      <c r="G502" s="19">
        <v>45212</v>
      </c>
      <c r="H502">
        <v>-2.0054541640444801</v>
      </c>
    </row>
    <row r="503" spans="1:8" x14ac:dyDescent="0.25">
      <c r="A503" t="s">
        <v>80</v>
      </c>
      <c r="B503" t="s">
        <v>383</v>
      </c>
      <c r="C503">
        <v>18</v>
      </c>
      <c r="D503">
        <v>1095.5</v>
      </c>
      <c r="E503" s="19">
        <v>45154</v>
      </c>
      <c r="F503">
        <v>1209.95</v>
      </c>
      <c r="G503" s="19">
        <v>45177</v>
      </c>
      <c r="H503">
        <v>-10.44728434504793</v>
      </c>
    </row>
    <row r="504" spans="1:8" x14ac:dyDescent="0.25">
      <c r="A504" t="s">
        <v>80</v>
      </c>
      <c r="B504" t="s">
        <v>385</v>
      </c>
      <c r="C504">
        <v>166</v>
      </c>
      <c r="D504">
        <v>880.4</v>
      </c>
      <c r="E504" s="19">
        <v>44908</v>
      </c>
      <c r="F504">
        <v>1079</v>
      </c>
      <c r="G504" s="19">
        <v>45149</v>
      </c>
      <c r="H504">
        <v>22.55792821444798</v>
      </c>
    </row>
    <row r="505" spans="1:8" x14ac:dyDescent="0.25">
      <c r="A505" t="s">
        <v>81</v>
      </c>
      <c r="B505" t="s">
        <v>385</v>
      </c>
      <c r="C505">
        <v>63</v>
      </c>
      <c r="D505">
        <v>1104.95</v>
      </c>
      <c r="E505" s="19">
        <v>45569</v>
      </c>
      <c r="F505">
        <v>1390.55</v>
      </c>
      <c r="G505" s="19">
        <v>45660</v>
      </c>
      <c r="H505">
        <v>25.847323408299012</v>
      </c>
    </row>
    <row r="506" spans="1:8" x14ac:dyDescent="0.25">
      <c r="A506" t="s">
        <v>81</v>
      </c>
      <c r="B506" t="s">
        <v>383</v>
      </c>
      <c r="C506">
        <v>94</v>
      </c>
      <c r="D506">
        <v>1106.0999999999999</v>
      </c>
      <c r="E506" s="19">
        <v>45430</v>
      </c>
      <c r="F506">
        <v>1002.6</v>
      </c>
      <c r="G506" s="19">
        <v>45566</v>
      </c>
      <c r="H506">
        <v>9.3572009764035702</v>
      </c>
    </row>
    <row r="507" spans="1:8" x14ac:dyDescent="0.25">
      <c r="A507" t="s">
        <v>81</v>
      </c>
      <c r="B507" t="s">
        <v>385</v>
      </c>
      <c r="C507">
        <v>376</v>
      </c>
      <c r="D507">
        <v>555.65</v>
      </c>
      <c r="E507" s="19">
        <v>44875</v>
      </c>
      <c r="F507">
        <v>1089.25</v>
      </c>
      <c r="G507" s="19">
        <v>45428</v>
      </c>
      <c r="H507">
        <v>96.03167461531541</v>
      </c>
    </row>
    <row r="508" spans="1:8" x14ac:dyDescent="0.25">
      <c r="A508" t="s">
        <v>82</v>
      </c>
      <c r="B508" t="s">
        <v>383</v>
      </c>
      <c r="C508">
        <v>67</v>
      </c>
      <c r="D508">
        <v>807</v>
      </c>
      <c r="E508" s="19">
        <v>45562</v>
      </c>
      <c r="F508">
        <v>754.75</v>
      </c>
      <c r="G508" s="19">
        <v>45660</v>
      </c>
      <c r="H508">
        <v>6.4745972738537798</v>
      </c>
    </row>
    <row r="509" spans="1:8" x14ac:dyDescent="0.25">
      <c r="A509" t="s">
        <v>82</v>
      </c>
      <c r="B509" t="s">
        <v>385</v>
      </c>
      <c r="C509">
        <v>23</v>
      </c>
      <c r="D509">
        <v>921.05</v>
      </c>
      <c r="E509" s="19">
        <v>45530</v>
      </c>
      <c r="F509">
        <v>818.9</v>
      </c>
      <c r="G509" s="19">
        <v>45560</v>
      </c>
      <c r="H509">
        <v>-11.0906031160089</v>
      </c>
    </row>
    <row r="510" spans="1:8" x14ac:dyDescent="0.25">
      <c r="A510" t="s">
        <v>82</v>
      </c>
      <c r="B510" t="s">
        <v>383</v>
      </c>
      <c r="C510">
        <v>75</v>
      </c>
      <c r="D510">
        <v>926.95</v>
      </c>
      <c r="E510" s="19">
        <v>45419</v>
      </c>
      <c r="F510">
        <v>863.45</v>
      </c>
      <c r="G510" s="19">
        <v>45526</v>
      </c>
      <c r="H510">
        <v>6.8504234316845558</v>
      </c>
    </row>
    <row r="511" spans="1:8" x14ac:dyDescent="0.25">
      <c r="A511" t="s">
        <v>82</v>
      </c>
      <c r="B511" t="s">
        <v>385</v>
      </c>
      <c r="C511">
        <v>121</v>
      </c>
      <c r="D511">
        <v>702.8</v>
      </c>
      <c r="E511" s="19">
        <v>45237</v>
      </c>
      <c r="F511">
        <v>942.85</v>
      </c>
      <c r="G511" s="19">
        <v>45415</v>
      </c>
      <c r="H511">
        <v>34.15623221400115</v>
      </c>
    </row>
    <row r="512" spans="1:8" x14ac:dyDescent="0.25">
      <c r="A512" t="s">
        <v>82</v>
      </c>
      <c r="B512" t="s">
        <v>383</v>
      </c>
      <c r="C512">
        <v>7</v>
      </c>
      <c r="D512">
        <v>630</v>
      </c>
      <c r="E512" s="19">
        <v>45225</v>
      </c>
      <c r="F512">
        <v>696.45</v>
      </c>
      <c r="G512" s="19">
        <v>45233</v>
      </c>
      <c r="H512">
        <v>-10.547619047619049</v>
      </c>
    </row>
    <row r="513" spans="1:8" x14ac:dyDescent="0.25">
      <c r="A513" t="s">
        <v>82</v>
      </c>
      <c r="B513" t="s">
        <v>385</v>
      </c>
      <c r="C513">
        <v>5</v>
      </c>
      <c r="D513">
        <v>681.95</v>
      </c>
      <c r="E513" s="19">
        <v>45216</v>
      </c>
      <c r="F513">
        <v>614.9</v>
      </c>
      <c r="G513" s="19">
        <v>45222</v>
      </c>
      <c r="H513">
        <v>-9.8320991275020262</v>
      </c>
    </row>
    <row r="514" spans="1:8" x14ac:dyDescent="0.25">
      <c r="A514" t="s">
        <v>82</v>
      </c>
      <c r="B514" t="s">
        <v>383</v>
      </c>
      <c r="C514">
        <v>20</v>
      </c>
      <c r="D514">
        <v>631.5</v>
      </c>
      <c r="E514" s="19">
        <v>45183</v>
      </c>
      <c r="F514">
        <v>672.05</v>
      </c>
      <c r="G514" s="19">
        <v>45212</v>
      </c>
      <c r="H514">
        <v>-6.421219319081545</v>
      </c>
    </row>
    <row r="515" spans="1:8" x14ac:dyDescent="0.25">
      <c r="A515" t="s">
        <v>82</v>
      </c>
      <c r="B515" t="s">
        <v>385</v>
      </c>
      <c r="C515">
        <v>1</v>
      </c>
      <c r="D515">
        <v>641.25</v>
      </c>
      <c r="E515" s="19">
        <v>45181</v>
      </c>
      <c r="F515">
        <v>641.25</v>
      </c>
      <c r="G515" s="19">
        <v>45181</v>
      </c>
      <c r="H515">
        <v>0</v>
      </c>
    </row>
    <row r="516" spans="1:8" x14ac:dyDescent="0.25">
      <c r="A516" t="s">
        <v>82</v>
      </c>
      <c r="B516" t="s">
        <v>383</v>
      </c>
      <c r="C516">
        <v>13</v>
      </c>
      <c r="D516">
        <v>627.15</v>
      </c>
      <c r="E516" s="19">
        <v>45161</v>
      </c>
      <c r="F516">
        <v>677</v>
      </c>
      <c r="G516" s="19">
        <v>45177</v>
      </c>
      <c r="H516">
        <v>-7.9486566212229963</v>
      </c>
    </row>
    <row r="517" spans="1:8" x14ac:dyDescent="0.25">
      <c r="A517" t="s">
        <v>82</v>
      </c>
      <c r="B517" t="s">
        <v>385</v>
      </c>
      <c r="C517">
        <v>120</v>
      </c>
      <c r="D517">
        <v>560</v>
      </c>
      <c r="E517" s="19">
        <v>44980</v>
      </c>
      <c r="F517">
        <v>624.4</v>
      </c>
      <c r="G517" s="19">
        <v>45159</v>
      </c>
      <c r="H517">
        <v>11.5</v>
      </c>
    </row>
    <row r="518" spans="1:8" x14ac:dyDescent="0.25">
      <c r="A518" t="s">
        <v>83</v>
      </c>
      <c r="B518" t="s">
        <v>385</v>
      </c>
      <c r="C518">
        <v>34</v>
      </c>
      <c r="D518">
        <v>695</v>
      </c>
      <c r="E518" s="19">
        <v>45610</v>
      </c>
      <c r="F518">
        <v>726.6</v>
      </c>
      <c r="G518" s="19">
        <v>45660</v>
      </c>
      <c r="H518">
        <v>4.5467625899280604</v>
      </c>
    </row>
    <row r="519" spans="1:8" x14ac:dyDescent="0.25">
      <c r="A519" t="s">
        <v>83</v>
      </c>
      <c r="B519" t="s">
        <v>383</v>
      </c>
      <c r="C519">
        <v>21</v>
      </c>
      <c r="D519">
        <v>652.9</v>
      </c>
      <c r="E519" s="19">
        <v>45580</v>
      </c>
      <c r="F519">
        <v>691.2</v>
      </c>
      <c r="G519" s="19">
        <v>45608</v>
      </c>
      <c r="H519">
        <v>-5.8661357022515039</v>
      </c>
    </row>
    <row r="520" spans="1:8" x14ac:dyDescent="0.25">
      <c r="A520" t="s">
        <v>83</v>
      </c>
      <c r="B520" t="s">
        <v>385</v>
      </c>
      <c r="C520">
        <v>82</v>
      </c>
      <c r="D520">
        <v>606.4</v>
      </c>
      <c r="E520" s="19">
        <v>45457</v>
      </c>
      <c r="F520">
        <v>672.1</v>
      </c>
      <c r="G520" s="19">
        <v>45576</v>
      </c>
      <c r="H520">
        <v>10.83443271767811</v>
      </c>
    </row>
    <row r="521" spans="1:8" x14ac:dyDescent="0.25">
      <c r="A521" t="s">
        <v>83</v>
      </c>
      <c r="B521" t="s">
        <v>383</v>
      </c>
      <c r="C521">
        <v>68</v>
      </c>
      <c r="D521">
        <v>629.15</v>
      </c>
      <c r="E521" s="19">
        <v>45353</v>
      </c>
      <c r="F521">
        <v>603.70000000000005</v>
      </c>
      <c r="G521" s="19">
        <v>45455</v>
      </c>
      <c r="H521">
        <v>4.0451402686163762</v>
      </c>
    </row>
    <row r="522" spans="1:8" x14ac:dyDescent="0.25">
      <c r="A522" t="s">
        <v>83</v>
      </c>
      <c r="B522" t="s">
        <v>385</v>
      </c>
      <c r="C522">
        <v>23</v>
      </c>
      <c r="D522">
        <v>673.05</v>
      </c>
      <c r="E522" s="19">
        <v>45321</v>
      </c>
      <c r="F522">
        <v>629.75</v>
      </c>
      <c r="G522" s="19">
        <v>45351</v>
      </c>
      <c r="H522">
        <v>-6.4334001931505762</v>
      </c>
    </row>
    <row r="523" spans="1:8" x14ac:dyDescent="0.25">
      <c r="A523" t="s">
        <v>83</v>
      </c>
      <c r="B523" t="s">
        <v>383</v>
      </c>
      <c r="C523">
        <v>20</v>
      </c>
      <c r="D523">
        <v>643.75</v>
      </c>
      <c r="E523" s="19">
        <v>45289</v>
      </c>
      <c r="F523">
        <v>641.9</v>
      </c>
      <c r="G523" s="19">
        <v>45316</v>
      </c>
      <c r="H523">
        <v>0.28737864077670261</v>
      </c>
    </row>
    <row r="524" spans="1:8" x14ac:dyDescent="0.25">
      <c r="A524" t="s">
        <v>83</v>
      </c>
      <c r="B524" t="s">
        <v>385</v>
      </c>
      <c r="C524">
        <v>18</v>
      </c>
      <c r="D524">
        <v>657.5</v>
      </c>
      <c r="E524" s="19">
        <v>45261</v>
      </c>
      <c r="F524">
        <v>634.35</v>
      </c>
      <c r="G524" s="19">
        <v>45287</v>
      </c>
      <c r="H524">
        <v>-3.5209125475285141</v>
      </c>
    </row>
    <row r="525" spans="1:8" x14ac:dyDescent="0.25">
      <c r="A525" t="s">
        <v>83</v>
      </c>
      <c r="B525" t="s">
        <v>383</v>
      </c>
      <c r="C525">
        <v>22</v>
      </c>
      <c r="D525">
        <v>618</v>
      </c>
      <c r="E525" s="19">
        <v>45229</v>
      </c>
      <c r="F525">
        <v>651.85</v>
      </c>
      <c r="G525" s="19">
        <v>45259</v>
      </c>
      <c r="H525">
        <v>-5.4773462783171558</v>
      </c>
    </row>
    <row r="526" spans="1:8" x14ac:dyDescent="0.25">
      <c r="A526" t="s">
        <v>83</v>
      </c>
      <c r="B526" t="s">
        <v>385</v>
      </c>
      <c r="C526">
        <v>30</v>
      </c>
      <c r="D526">
        <v>667.45</v>
      </c>
      <c r="E526" s="19">
        <v>45181</v>
      </c>
      <c r="F526">
        <v>614.70000000000005</v>
      </c>
      <c r="G526" s="19">
        <v>45225</v>
      </c>
      <c r="H526">
        <v>-7.9032137238744484</v>
      </c>
    </row>
    <row r="527" spans="1:8" x14ac:dyDescent="0.25">
      <c r="A527" t="s">
        <v>83</v>
      </c>
      <c r="B527" t="s">
        <v>383</v>
      </c>
      <c r="C527">
        <v>27</v>
      </c>
      <c r="D527">
        <v>614.5</v>
      </c>
      <c r="E527" s="19">
        <v>45140</v>
      </c>
      <c r="F527">
        <v>669</v>
      </c>
      <c r="G527" s="19">
        <v>45177</v>
      </c>
      <c r="H527">
        <v>-8.868999186330349</v>
      </c>
    </row>
    <row r="528" spans="1:8" x14ac:dyDescent="0.25">
      <c r="A528" t="s">
        <v>83</v>
      </c>
      <c r="B528" t="s">
        <v>385</v>
      </c>
      <c r="C528">
        <v>265</v>
      </c>
      <c r="D528">
        <v>405.1</v>
      </c>
      <c r="E528" s="19">
        <v>44748</v>
      </c>
      <c r="F528">
        <v>614.20000000000005</v>
      </c>
      <c r="G528" s="19">
        <v>45138</v>
      </c>
      <c r="H528">
        <v>51.616884719822266</v>
      </c>
    </row>
    <row r="529" spans="1:8" x14ac:dyDescent="0.25">
      <c r="A529" t="s">
        <v>84</v>
      </c>
      <c r="B529" t="s">
        <v>385</v>
      </c>
      <c r="C529">
        <v>24</v>
      </c>
      <c r="D529">
        <v>3107.45</v>
      </c>
      <c r="E529" s="19">
        <v>45628</v>
      </c>
      <c r="F529">
        <v>3185.25</v>
      </c>
      <c r="G529" s="19">
        <v>45660</v>
      </c>
      <c r="H529">
        <v>2.5036605576920041</v>
      </c>
    </row>
    <row r="530" spans="1:8" x14ac:dyDescent="0.25">
      <c r="A530" t="s">
        <v>84</v>
      </c>
      <c r="B530" t="s">
        <v>383</v>
      </c>
      <c r="C530">
        <v>18</v>
      </c>
      <c r="D530">
        <v>2809.55</v>
      </c>
      <c r="E530" s="19">
        <v>45597</v>
      </c>
      <c r="F530">
        <v>2972.85</v>
      </c>
      <c r="G530" s="19">
        <v>45624</v>
      </c>
      <c r="H530">
        <v>-5.8123186987239848</v>
      </c>
    </row>
    <row r="531" spans="1:8" x14ac:dyDescent="0.25">
      <c r="A531" t="s">
        <v>84</v>
      </c>
      <c r="B531" t="s">
        <v>385</v>
      </c>
      <c r="C531">
        <v>86</v>
      </c>
      <c r="D531">
        <v>2821.85</v>
      </c>
      <c r="E531" s="19">
        <v>45471</v>
      </c>
      <c r="F531">
        <v>2830.15</v>
      </c>
      <c r="G531" s="19">
        <v>45595</v>
      </c>
      <c r="H531">
        <v>0.29413328135798078</v>
      </c>
    </row>
    <row r="532" spans="1:8" x14ac:dyDescent="0.25">
      <c r="A532" t="s">
        <v>84</v>
      </c>
      <c r="B532" t="s">
        <v>383</v>
      </c>
      <c r="C532">
        <v>64</v>
      </c>
      <c r="D532">
        <v>2528.15</v>
      </c>
      <c r="E532" s="19">
        <v>45372</v>
      </c>
      <c r="F532">
        <v>2519.15</v>
      </c>
      <c r="G532" s="19">
        <v>45469</v>
      </c>
      <c r="H532">
        <v>0.35599153531238259</v>
      </c>
    </row>
    <row r="533" spans="1:8" x14ac:dyDescent="0.25">
      <c r="A533" t="s">
        <v>84</v>
      </c>
      <c r="B533" t="s">
        <v>385</v>
      </c>
      <c r="C533">
        <v>72</v>
      </c>
      <c r="D533">
        <v>2288.85</v>
      </c>
      <c r="E533" s="19">
        <v>45267</v>
      </c>
      <c r="F533">
        <v>2551.1</v>
      </c>
      <c r="G533" s="19">
        <v>45370</v>
      </c>
      <c r="H533">
        <v>11.45771894182668</v>
      </c>
    </row>
    <row r="534" spans="1:8" x14ac:dyDescent="0.25">
      <c r="A534" t="s">
        <v>84</v>
      </c>
      <c r="B534" t="s">
        <v>383</v>
      </c>
      <c r="C534">
        <v>56</v>
      </c>
      <c r="D534">
        <v>2138.6</v>
      </c>
      <c r="E534" s="19">
        <v>45182</v>
      </c>
      <c r="F534">
        <v>2244.65</v>
      </c>
      <c r="G534" s="19">
        <v>45265</v>
      </c>
      <c r="H534">
        <v>-4.9588515851491719</v>
      </c>
    </row>
    <row r="535" spans="1:8" x14ac:dyDescent="0.25">
      <c r="A535" t="s">
        <v>84</v>
      </c>
      <c r="B535" t="s">
        <v>385</v>
      </c>
      <c r="C535">
        <v>90</v>
      </c>
      <c r="D535">
        <v>1716.6</v>
      </c>
      <c r="E535" s="19">
        <v>45051</v>
      </c>
      <c r="F535">
        <v>2196.9</v>
      </c>
      <c r="G535" s="19">
        <v>45180</v>
      </c>
      <c r="H535">
        <v>27.97972736805314</v>
      </c>
    </row>
    <row r="536" spans="1:8" x14ac:dyDescent="0.25">
      <c r="A536" t="s">
        <v>85</v>
      </c>
      <c r="B536" t="s">
        <v>383</v>
      </c>
      <c r="C536">
        <v>34</v>
      </c>
      <c r="D536">
        <v>748.65</v>
      </c>
      <c r="E536" s="19">
        <v>45610</v>
      </c>
      <c r="F536">
        <v>863.55</v>
      </c>
      <c r="G536" s="19">
        <v>45660</v>
      </c>
      <c r="H536">
        <v>-15.347625726307349</v>
      </c>
    </row>
    <row r="537" spans="1:8" x14ac:dyDescent="0.25">
      <c r="A537" t="s">
        <v>85</v>
      </c>
      <c r="B537" t="s">
        <v>385</v>
      </c>
      <c r="C537">
        <v>107</v>
      </c>
      <c r="D537">
        <v>690.7</v>
      </c>
      <c r="E537" s="19">
        <v>45454</v>
      </c>
      <c r="F537">
        <v>798.3</v>
      </c>
      <c r="G537" s="19">
        <v>45608</v>
      </c>
      <c r="H537">
        <v>15.578398725930199</v>
      </c>
    </row>
    <row r="538" spans="1:8" x14ac:dyDescent="0.25">
      <c r="A538" t="s">
        <v>85</v>
      </c>
      <c r="B538" t="s">
        <v>383</v>
      </c>
      <c r="C538">
        <v>72</v>
      </c>
      <c r="D538">
        <v>721.05</v>
      </c>
      <c r="E538" s="19">
        <v>45344</v>
      </c>
      <c r="F538">
        <v>689.1</v>
      </c>
      <c r="G538" s="19">
        <v>45450</v>
      </c>
      <c r="H538">
        <v>4.4310380694819962</v>
      </c>
    </row>
    <row r="539" spans="1:8" x14ac:dyDescent="0.25">
      <c r="A539" t="s">
        <v>85</v>
      </c>
      <c r="B539" t="s">
        <v>385</v>
      </c>
      <c r="C539">
        <v>55</v>
      </c>
      <c r="D539">
        <v>685.7</v>
      </c>
      <c r="E539" s="19">
        <v>45264</v>
      </c>
      <c r="F539">
        <v>722.7</v>
      </c>
      <c r="G539" s="19">
        <v>45342</v>
      </c>
      <c r="H539">
        <v>5.3959457488697673</v>
      </c>
    </row>
    <row r="540" spans="1:8" x14ac:dyDescent="0.25">
      <c r="A540" t="s">
        <v>85</v>
      </c>
      <c r="B540" t="s">
        <v>383</v>
      </c>
      <c r="C540">
        <v>38</v>
      </c>
      <c r="D540">
        <v>653.4</v>
      </c>
      <c r="E540" s="19">
        <v>45205</v>
      </c>
      <c r="F540">
        <v>645</v>
      </c>
      <c r="G540" s="19">
        <v>45260</v>
      </c>
      <c r="H540">
        <v>1.285583103764919</v>
      </c>
    </row>
    <row r="541" spans="1:8" x14ac:dyDescent="0.25">
      <c r="A541" t="s">
        <v>85</v>
      </c>
      <c r="B541" t="s">
        <v>385</v>
      </c>
      <c r="C541">
        <v>111</v>
      </c>
      <c r="D541">
        <v>511</v>
      </c>
      <c r="E541" s="19">
        <v>45042</v>
      </c>
      <c r="F541">
        <v>636.5</v>
      </c>
      <c r="G541" s="19">
        <v>45203</v>
      </c>
      <c r="H541">
        <v>24.55968688845401</v>
      </c>
    </row>
    <row r="542" spans="1:8" x14ac:dyDescent="0.25">
      <c r="A542" t="s">
        <v>86</v>
      </c>
      <c r="B542" t="s">
        <v>383</v>
      </c>
      <c r="C542">
        <v>76</v>
      </c>
      <c r="D542">
        <v>8360.2000000000007</v>
      </c>
      <c r="E542" s="19">
        <v>45551</v>
      </c>
      <c r="F542">
        <v>7525.15</v>
      </c>
      <c r="G542" s="19">
        <v>45660</v>
      </c>
      <c r="H542">
        <v>9.9883974067606154</v>
      </c>
    </row>
    <row r="543" spans="1:8" x14ac:dyDescent="0.25">
      <c r="A543" t="s">
        <v>86</v>
      </c>
      <c r="B543" t="s">
        <v>385</v>
      </c>
      <c r="C543">
        <v>63</v>
      </c>
      <c r="D543">
        <v>7563</v>
      </c>
      <c r="E543" s="19">
        <v>45456</v>
      </c>
      <c r="F543">
        <v>8458.7000000000007</v>
      </c>
      <c r="G543" s="19">
        <v>45547</v>
      </c>
      <c r="H543">
        <v>11.84318392172419</v>
      </c>
    </row>
    <row r="544" spans="1:8" x14ac:dyDescent="0.25">
      <c r="A544" t="s">
        <v>86</v>
      </c>
      <c r="B544" t="s">
        <v>383</v>
      </c>
      <c r="C544">
        <v>133</v>
      </c>
      <c r="D544">
        <v>8410</v>
      </c>
      <c r="E544" s="19">
        <v>45259</v>
      </c>
      <c r="F544">
        <v>7495</v>
      </c>
      <c r="G544" s="19">
        <v>45454</v>
      </c>
      <c r="H544">
        <v>10.879904875148631</v>
      </c>
    </row>
    <row r="545" spans="1:8" x14ac:dyDescent="0.25">
      <c r="A545" t="s">
        <v>86</v>
      </c>
      <c r="B545" t="s">
        <v>385</v>
      </c>
      <c r="C545">
        <v>8</v>
      </c>
      <c r="D545">
        <v>8771.35</v>
      </c>
      <c r="E545" s="19">
        <v>45245</v>
      </c>
      <c r="F545">
        <v>8495</v>
      </c>
      <c r="G545" s="19">
        <v>45254</v>
      </c>
      <c r="H545">
        <v>-3.1505982545446289</v>
      </c>
    </row>
    <row r="546" spans="1:8" x14ac:dyDescent="0.25">
      <c r="A546" t="s">
        <v>86</v>
      </c>
      <c r="B546" t="s">
        <v>383</v>
      </c>
      <c r="C546">
        <v>7</v>
      </c>
      <c r="D546">
        <v>8336.25</v>
      </c>
      <c r="E546" s="19">
        <v>45233</v>
      </c>
      <c r="F546">
        <v>8729.9500000000007</v>
      </c>
      <c r="G546" s="19">
        <v>45242</v>
      </c>
      <c r="H546">
        <v>-4.7227470385365216</v>
      </c>
    </row>
    <row r="547" spans="1:8" x14ac:dyDescent="0.25">
      <c r="A547" t="s">
        <v>86</v>
      </c>
      <c r="B547" t="s">
        <v>385</v>
      </c>
      <c r="C547">
        <v>192</v>
      </c>
      <c r="D547">
        <v>5286.2</v>
      </c>
      <c r="E547" s="19">
        <v>44946</v>
      </c>
      <c r="F547">
        <v>8158.4</v>
      </c>
      <c r="G547" s="19">
        <v>45231</v>
      </c>
      <c r="H547">
        <v>54.333926071658283</v>
      </c>
    </row>
    <row r="548" spans="1:8" x14ac:dyDescent="0.25">
      <c r="A548" t="s">
        <v>87</v>
      </c>
      <c r="B548" t="s">
        <v>385</v>
      </c>
      <c r="C548">
        <v>22</v>
      </c>
      <c r="D548">
        <v>534.35</v>
      </c>
      <c r="E548" s="19">
        <v>45630</v>
      </c>
      <c r="F548">
        <v>500.3</v>
      </c>
      <c r="G548" s="19">
        <v>45660</v>
      </c>
      <c r="H548">
        <v>-6.372227940488445</v>
      </c>
    </row>
    <row r="549" spans="1:8" x14ac:dyDescent="0.25">
      <c r="A549" t="s">
        <v>87</v>
      </c>
      <c r="B549" t="s">
        <v>383</v>
      </c>
      <c r="C549">
        <v>29</v>
      </c>
      <c r="D549">
        <v>487.25</v>
      </c>
      <c r="E549" s="19">
        <v>45586</v>
      </c>
      <c r="F549">
        <v>524.79999999999995</v>
      </c>
      <c r="G549" s="19">
        <v>45628</v>
      </c>
      <c r="H549">
        <v>-7.7065161621344194</v>
      </c>
    </row>
    <row r="550" spans="1:8" x14ac:dyDescent="0.25">
      <c r="A550" t="s">
        <v>87</v>
      </c>
      <c r="B550" t="s">
        <v>385</v>
      </c>
      <c r="C550">
        <v>132</v>
      </c>
      <c r="D550">
        <v>377.3</v>
      </c>
      <c r="E550" s="19">
        <v>45390</v>
      </c>
      <c r="F550">
        <v>500.3</v>
      </c>
      <c r="G550" s="19">
        <v>45582</v>
      </c>
      <c r="H550">
        <v>32.600053008216271</v>
      </c>
    </row>
    <row r="551" spans="1:8" x14ac:dyDescent="0.25">
      <c r="A551" t="s">
        <v>87</v>
      </c>
      <c r="B551" t="s">
        <v>383</v>
      </c>
      <c r="C551">
        <v>13</v>
      </c>
      <c r="D551">
        <v>346.95</v>
      </c>
      <c r="E551" s="19">
        <v>45366</v>
      </c>
      <c r="F551">
        <v>369.3</v>
      </c>
      <c r="G551" s="19">
        <v>45386</v>
      </c>
      <c r="H551">
        <v>-6.4418504107220116</v>
      </c>
    </row>
    <row r="552" spans="1:8" x14ac:dyDescent="0.25">
      <c r="A552" t="s">
        <v>87</v>
      </c>
      <c r="B552" t="s">
        <v>385</v>
      </c>
      <c r="C552">
        <v>130</v>
      </c>
      <c r="D552">
        <v>285.5</v>
      </c>
      <c r="E552" s="19">
        <v>45175</v>
      </c>
      <c r="F552">
        <v>337.75</v>
      </c>
      <c r="G552" s="19">
        <v>45364</v>
      </c>
      <c r="H552">
        <v>18.301225919439581</v>
      </c>
    </row>
    <row r="553" spans="1:8" x14ac:dyDescent="0.25">
      <c r="A553" t="s">
        <v>87</v>
      </c>
      <c r="B553" t="s">
        <v>383</v>
      </c>
      <c r="C553">
        <v>63</v>
      </c>
      <c r="D553">
        <v>279.05</v>
      </c>
      <c r="E553" s="19">
        <v>45083</v>
      </c>
      <c r="F553">
        <v>279.35000000000002</v>
      </c>
      <c r="G553" s="19">
        <v>45173</v>
      </c>
      <c r="H553">
        <v>-0.1075076151227419</v>
      </c>
    </row>
    <row r="554" spans="1:8" x14ac:dyDescent="0.25">
      <c r="A554" t="s">
        <v>87</v>
      </c>
      <c r="B554" t="s">
        <v>385</v>
      </c>
      <c r="C554">
        <v>21</v>
      </c>
      <c r="D554">
        <v>300.3</v>
      </c>
      <c r="E554" s="19">
        <v>45051</v>
      </c>
      <c r="F554">
        <v>280.75</v>
      </c>
      <c r="G554" s="19">
        <v>45079</v>
      </c>
      <c r="H554">
        <v>-6.5101565101565129</v>
      </c>
    </row>
    <row r="555" spans="1:8" x14ac:dyDescent="0.25">
      <c r="A555" t="s">
        <v>88</v>
      </c>
      <c r="B555" t="s">
        <v>383</v>
      </c>
      <c r="C555">
        <v>39</v>
      </c>
      <c r="D555">
        <v>1694.85</v>
      </c>
      <c r="E555" s="19">
        <v>45603</v>
      </c>
      <c r="F555">
        <v>1552.75</v>
      </c>
      <c r="G555" s="19">
        <v>45660</v>
      </c>
      <c r="H555">
        <v>8.3842227925775088</v>
      </c>
    </row>
    <row r="556" spans="1:8" x14ac:dyDescent="0.25">
      <c r="A556" t="s">
        <v>88</v>
      </c>
      <c r="B556" t="s">
        <v>385</v>
      </c>
      <c r="C556">
        <v>149</v>
      </c>
      <c r="D556">
        <v>1157.1500000000001</v>
      </c>
      <c r="E556" s="19">
        <v>45384</v>
      </c>
      <c r="F556">
        <v>1755.75</v>
      </c>
      <c r="G556" s="19">
        <v>45601</v>
      </c>
      <c r="H556">
        <v>51.730544873179781</v>
      </c>
    </row>
    <row r="557" spans="1:8" x14ac:dyDescent="0.25">
      <c r="A557" t="s">
        <v>88</v>
      </c>
      <c r="B557" t="s">
        <v>383</v>
      </c>
      <c r="C557">
        <v>15</v>
      </c>
      <c r="D557">
        <v>1041.45</v>
      </c>
      <c r="E557" s="19">
        <v>45357</v>
      </c>
      <c r="F557">
        <v>1111.5</v>
      </c>
      <c r="G557" s="19">
        <v>45379</v>
      </c>
      <c r="H557">
        <v>-6.7261990494022701</v>
      </c>
    </row>
    <row r="558" spans="1:8" x14ac:dyDescent="0.25">
      <c r="A558" t="s">
        <v>88</v>
      </c>
      <c r="B558" t="s">
        <v>385</v>
      </c>
      <c r="C558">
        <v>26</v>
      </c>
      <c r="D558">
        <v>1162</v>
      </c>
      <c r="E558" s="19">
        <v>45321</v>
      </c>
      <c r="F558">
        <v>1069.5999999999999</v>
      </c>
      <c r="G558" s="19">
        <v>45355</v>
      </c>
      <c r="H558">
        <v>-7.9518072289156709</v>
      </c>
    </row>
    <row r="559" spans="1:8" x14ac:dyDescent="0.25">
      <c r="A559" t="s">
        <v>88</v>
      </c>
      <c r="B559" t="s">
        <v>383</v>
      </c>
      <c r="C559">
        <v>41</v>
      </c>
      <c r="D559">
        <v>1007.8</v>
      </c>
      <c r="E559" s="19">
        <v>45259</v>
      </c>
      <c r="F559">
        <v>1101.5</v>
      </c>
      <c r="G559" s="19">
        <v>45316</v>
      </c>
      <c r="H559">
        <v>-9.2974796586624393</v>
      </c>
    </row>
    <row r="560" spans="1:8" x14ac:dyDescent="0.25">
      <c r="A560" t="s">
        <v>88</v>
      </c>
      <c r="B560" t="s">
        <v>385</v>
      </c>
      <c r="C560">
        <v>144</v>
      </c>
      <c r="D560">
        <v>623.29999999999995</v>
      </c>
      <c r="E560" s="19">
        <v>45048</v>
      </c>
      <c r="F560">
        <v>1037.55</v>
      </c>
      <c r="G560" s="19">
        <v>45254</v>
      </c>
      <c r="H560">
        <v>66.46077330338521</v>
      </c>
    </row>
    <row r="561" spans="1:8" x14ac:dyDescent="0.25">
      <c r="A561" t="s">
        <v>89</v>
      </c>
      <c r="B561" t="s">
        <v>383</v>
      </c>
      <c r="C561">
        <v>49</v>
      </c>
      <c r="D561">
        <v>1386.15</v>
      </c>
      <c r="E561" s="19">
        <v>45589</v>
      </c>
      <c r="F561">
        <v>1320.25</v>
      </c>
      <c r="G561" s="19">
        <v>45660</v>
      </c>
      <c r="H561">
        <v>4.7541752335605878</v>
      </c>
    </row>
    <row r="562" spans="1:8" x14ac:dyDescent="0.25">
      <c r="A562" t="s">
        <v>89</v>
      </c>
      <c r="B562" t="s">
        <v>385</v>
      </c>
      <c r="C562">
        <v>135</v>
      </c>
      <c r="D562">
        <v>1203.05</v>
      </c>
      <c r="E562" s="19">
        <v>45390</v>
      </c>
      <c r="F562">
        <v>1411.2</v>
      </c>
      <c r="G562" s="19">
        <v>45587</v>
      </c>
      <c r="H562">
        <v>17.30185777814722</v>
      </c>
    </row>
    <row r="563" spans="1:8" x14ac:dyDescent="0.25">
      <c r="A563" t="s">
        <v>89</v>
      </c>
      <c r="B563" t="s">
        <v>383</v>
      </c>
      <c r="C563">
        <v>40</v>
      </c>
      <c r="D563">
        <v>1159.8</v>
      </c>
      <c r="E563" s="19">
        <v>45329</v>
      </c>
      <c r="F563">
        <v>1196.3499999999999</v>
      </c>
      <c r="G563" s="19">
        <v>45386</v>
      </c>
      <c r="H563">
        <v>-3.151405414726673</v>
      </c>
    </row>
    <row r="564" spans="1:8" x14ac:dyDescent="0.25">
      <c r="A564" t="s">
        <v>89</v>
      </c>
      <c r="B564" t="s">
        <v>385</v>
      </c>
      <c r="C564">
        <v>35</v>
      </c>
      <c r="D564">
        <v>1243.8</v>
      </c>
      <c r="E564" s="19">
        <v>45275</v>
      </c>
      <c r="F564">
        <v>1136.3499999999999</v>
      </c>
      <c r="G564" s="19">
        <v>45327</v>
      </c>
      <c r="H564">
        <v>-8.638848689499925</v>
      </c>
    </row>
    <row r="565" spans="1:8" x14ac:dyDescent="0.25">
      <c r="A565" t="s">
        <v>89</v>
      </c>
      <c r="B565" t="s">
        <v>383</v>
      </c>
      <c r="C565">
        <v>23</v>
      </c>
      <c r="D565">
        <v>1148.25</v>
      </c>
      <c r="E565" s="19">
        <v>45240</v>
      </c>
      <c r="F565">
        <v>1180.5999999999999</v>
      </c>
      <c r="G565" s="19">
        <v>45273</v>
      </c>
      <c r="H565">
        <v>-2.817330720661869</v>
      </c>
    </row>
    <row r="566" spans="1:8" x14ac:dyDescent="0.25">
      <c r="A566" t="s">
        <v>89</v>
      </c>
      <c r="B566" t="s">
        <v>385</v>
      </c>
      <c r="C566">
        <v>42</v>
      </c>
      <c r="D566">
        <v>1129.25</v>
      </c>
      <c r="E566" s="19">
        <v>45176</v>
      </c>
      <c r="F566">
        <v>1143.1500000000001</v>
      </c>
      <c r="G566" s="19">
        <v>45238</v>
      </c>
      <c r="H566">
        <v>1.2309054682311349</v>
      </c>
    </row>
    <row r="567" spans="1:8" x14ac:dyDescent="0.25">
      <c r="A567" t="s">
        <v>89</v>
      </c>
      <c r="B567" t="s">
        <v>383</v>
      </c>
      <c r="C567">
        <v>14</v>
      </c>
      <c r="D567">
        <v>1020</v>
      </c>
      <c r="E567" s="19">
        <v>45155</v>
      </c>
      <c r="F567">
        <v>1096.75</v>
      </c>
      <c r="G567" s="19">
        <v>45174</v>
      </c>
      <c r="H567">
        <v>-7.5245098039215694</v>
      </c>
    </row>
    <row r="568" spans="1:8" x14ac:dyDescent="0.25">
      <c r="A568" t="s">
        <v>89</v>
      </c>
      <c r="B568" t="s">
        <v>385</v>
      </c>
      <c r="C568">
        <v>89</v>
      </c>
      <c r="D568">
        <v>841.4</v>
      </c>
      <c r="E568" s="19">
        <v>45022</v>
      </c>
      <c r="F568">
        <v>1036</v>
      </c>
      <c r="G568" s="19">
        <v>45152</v>
      </c>
      <c r="H568">
        <v>23.128119800332779</v>
      </c>
    </row>
    <row r="569" spans="1:8" x14ac:dyDescent="0.25">
      <c r="A569" t="s">
        <v>90</v>
      </c>
      <c r="B569" t="s">
        <v>383</v>
      </c>
      <c r="C569">
        <v>65</v>
      </c>
      <c r="D569">
        <v>569.6</v>
      </c>
      <c r="E569" s="19">
        <v>45566</v>
      </c>
      <c r="F569">
        <v>486.45</v>
      </c>
      <c r="G569" s="19">
        <v>45660</v>
      </c>
      <c r="H569">
        <v>14.597963483146071</v>
      </c>
    </row>
    <row r="570" spans="1:8" x14ac:dyDescent="0.25">
      <c r="A570" t="s">
        <v>90</v>
      </c>
      <c r="B570" t="s">
        <v>385</v>
      </c>
      <c r="C570">
        <v>5</v>
      </c>
      <c r="D570">
        <v>590.9</v>
      </c>
      <c r="E570" s="19">
        <v>45558</v>
      </c>
      <c r="F570">
        <v>544.29999999999995</v>
      </c>
      <c r="G570" s="19">
        <v>45562</v>
      </c>
      <c r="H570">
        <v>-7.8862751734642123</v>
      </c>
    </row>
    <row r="571" spans="1:8" x14ac:dyDescent="0.25">
      <c r="A571" t="s">
        <v>90</v>
      </c>
      <c r="B571" t="s">
        <v>383</v>
      </c>
      <c r="C571">
        <v>3</v>
      </c>
      <c r="D571">
        <v>565.35</v>
      </c>
      <c r="E571" s="19">
        <v>45552</v>
      </c>
      <c r="F571">
        <v>577.35</v>
      </c>
      <c r="G571" s="19">
        <v>45554</v>
      </c>
      <c r="H571">
        <v>-2.1225789334040859</v>
      </c>
    </row>
    <row r="572" spans="1:8" x14ac:dyDescent="0.25">
      <c r="A572" t="s">
        <v>90</v>
      </c>
      <c r="B572" t="s">
        <v>385</v>
      </c>
      <c r="C572">
        <v>10</v>
      </c>
      <c r="D572">
        <v>588.4</v>
      </c>
      <c r="E572" s="19">
        <v>45537</v>
      </c>
      <c r="F572">
        <v>561.70000000000005</v>
      </c>
      <c r="G572" s="19">
        <v>45548</v>
      </c>
      <c r="H572">
        <v>-4.537729435757976</v>
      </c>
    </row>
    <row r="573" spans="1:8" x14ac:dyDescent="0.25">
      <c r="A573" t="s">
        <v>90</v>
      </c>
      <c r="B573" t="s">
        <v>383</v>
      </c>
      <c r="C573">
        <v>10</v>
      </c>
      <c r="D573">
        <v>531.29999999999995</v>
      </c>
      <c r="E573" s="19">
        <v>45520</v>
      </c>
      <c r="F573">
        <v>586.70000000000005</v>
      </c>
      <c r="G573" s="19">
        <v>45533</v>
      </c>
      <c r="H573">
        <v>-10.427253905514791</v>
      </c>
    </row>
    <row r="574" spans="1:8" x14ac:dyDescent="0.25">
      <c r="A574" t="s">
        <v>90</v>
      </c>
      <c r="B574" t="s">
        <v>385</v>
      </c>
      <c r="C574">
        <v>85</v>
      </c>
      <c r="D574">
        <v>478</v>
      </c>
      <c r="E574" s="19">
        <v>45392</v>
      </c>
      <c r="F574">
        <v>531.5</v>
      </c>
      <c r="G574" s="19">
        <v>45517</v>
      </c>
      <c r="H574">
        <v>11.19246861924686</v>
      </c>
    </row>
    <row r="575" spans="1:8" x14ac:dyDescent="0.25">
      <c r="A575" t="s">
        <v>90</v>
      </c>
      <c r="B575" t="s">
        <v>383</v>
      </c>
      <c r="C575">
        <v>32</v>
      </c>
      <c r="D575">
        <v>462.35</v>
      </c>
      <c r="E575" s="19">
        <v>45343</v>
      </c>
      <c r="F575">
        <v>480.2</v>
      </c>
      <c r="G575" s="19">
        <v>45390</v>
      </c>
      <c r="H575">
        <v>-3.8607115821347389</v>
      </c>
    </row>
    <row r="576" spans="1:8" x14ac:dyDescent="0.25">
      <c r="A576" t="s">
        <v>90</v>
      </c>
      <c r="B576" t="s">
        <v>385</v>
      </c>
      <c r="C576">
        <v>32</v>
      </c>
      <c r="D576">
        <v>487.35</v>
      </c>
      <c r="E576" s="19">
        <v>45295</v>
      </c>
      <c r="F576">
        <v>483.25</v>
      </c>
      <c r="G576" s="19">
        <v>45341</v>
      </c>
      <c r="H576">
        <v>-0.84128449779419767</v>
      </c>
    </row>
    <row r="577" spans="1:8" x14ac:dyDescent="0.25">
      <c r="A577" t="s">
        <v>90</v>
      </c>
      <c r="B577" t="s">
        <v>383</v>
      </c>
      <c r="C577">
        <v>8</v>
      </c>
      <c r="D577">
        <v>465.25</v>
      </c>
      <c r="E577" s="19">
        <v>45281</v>
      </c>
      <c r="F577">
        <v>489.45</v>
      </c>
      <c r="G577" s="19">
        <v>45293</v>
      </c>
      <c r="H577">
        <v>-5.2015045674368592</v>
      </c>
    </row>
    <row r="578" spans="1:8" x14ac:dyDescent="0.25">
      <c r="A578" t="s">
        <v>90</v>
      </c>
      <c r="B578" t="s">
        <v>385</v>
      </c>
      <c r="C578">
        <v>20</v>
      </c>
      <c r="D578">
        <v>494.2</v>
      </c>
      <c r="E578" s="19">
        <v>45251</v>
      </c>
      <c r="F578">
        <v>473.9</v>
      </c>
      <c r="G578" s="19">
        <v>45279</v>
      </c>
      <c r="H578">
        <v>-4.1076487252124672</v>
      </c>
    </row>
    <row r="579" spans="1:8" x14ac:dyDescent="0.25">
      <c r="A579" t="s">
        <v>90</v>
      </c>
      <c r="B579" t="s">
        <v>383</v>
      </c>
      <c r="C579">
        <v>38</v>
      </c>
      <c r="D579">
        <v>480.35</v>
      </c>
      <c r="E579" s="19">
        <v>45194</v>
      </c>
      <c r="F579">
        <v>493.15</v>
      </c>
      <c r="G579" s="19">
        <v>45247</v>
      </c>
      <c r="H579">
        <v>-2.6647236390132099</v>
      </c>
    </row>
    <row r="580" spans="1:8" x14ac:dyDescent="0.25">
      <c r="A580" t="s">
        <v>90</v>
      </c>
      <c r="B580" t="s">
        <v>385</v>
      </c>
      <c r="C580">
        <v>17</v>
      </c>
      <c r="D580">
        <v>507.7</v>
      </c>
      <c r="E580" s="19">
        <v>45167</v>
      </c>
      <c r="F580">
        <v>482.55</v>
      </c>
      <c r="G580" s="19">
        <v>45190</v>
      </c>
      <c r="H580">
        <v>-4.9537128225329869</v>
      </c>
    </row>
    <row r="581" spans="1:8" x14ac:dyDescent="0.25">
      <c r="A581" t="s">
        <v>90</v>
      </c>
      <c r="B581" t="s">
        <v>383</v>
      </c>
      <c r="C581">
        <v>7</v>
      </c>
      <c r="D581">
        <v>479.5</v>
      </c>
      <c r="E581" s="19">
        <v>45155</v>
      </c>
      <c r="F581">
        <v>505.9</v>
      </c>
      <c r="G581" s="19">
        <v>45163</v>
      </c>
      <c r="H581">
        <v>-5.5057351407716322</v>
      </c>
    </row>
    <row r="582" spans="1:8" x14ac:dyDescent="0.25">
      <c r="A582" t="s">
        <v>90</v>
      </c>
      <c r="B582" t="s">
        <v>385</v>
      </c>
      <c r="C582">
        <v>74</v>
      </c>
      <c r="D582">
        <v>396.85</v>
      </c>
      <c r="E582" s="19">
        <v>45048</v>
      </c>
      <c r="F582">
        <v>485.55</v>
      </c>
      <c r="G582" s="19">
        <v>45152</v>
      </c>
      <c r="H582">
        <v>22.35101423711729</v>
      </c>
    </row>
    <row r="583" spans="1:8" x14ac:dyDescent="0.25">
      <c r="A583" t="s">
        <v>91</v>
      </c>
      <c r="B583" t="s">
        <v>383</v>
      </c>
      <c r="C583">
        <v>51</v>
      </c>
      <c r="D583">
        <v>1510.35</v>
      </c>
      <c r="E583" s="19">
        <v>45587</v>
      </c>
      <c r="F583">
        <v>1511.25</v>
      </c>
      <c r="G583" s="19">
        <v>45660</v>
      </c>
      <c r="H583">
        <v>-5.958883702453676E-2</v>
      </c>
    </row>
    <row r="584" spans="1:8" x14ac:dyDescent="0.25">
      <c r="A584" t="s">
        <v>91</v>
      </c>
      <c r="B584" t="s">
        <v>385</v>
      </c>
      <c r="C584">
        <v>102</v>
      </c>
      <c r="D584">
        <v>1486.45</v>
      </c>
      <c r="E584" s="19">
        <v>45436</v>
      </c>
      <c r="F584">
        <v>1551.7</v>
      </c>
      <c r="G584" s="19">
        <v>45583</v>
      </c>
      <c r="H584">
        <v>4.38965320057856</v>
      </c>
    </row>
    <row r="585" spans="1:8" x14ac:dyDescent="0.25">
      <c r="A585" t="s">
        <v>91</v>
      </c>
      <c r="B585" t="s">
        <v>383</v>
      </c>
      <c r="C585">
        <v>22</v>
      </c>
      <c r="D585">
        <v>1354.85</v>
      </c>
      <c r="E585" s="19">
        <v>45404</v>
      </c>
      <c r="F585">
        <v>1482.3</v>
      </c>
      <c r="G585" s="19">
        <v>45434</v>
      </c>
      <c r="H585">
        <v>-9.4069454183119952</v>
      </c>
    </row>
    <row r="586" spans="1:8" x14ac:dyDescent="0.25">
      <c r="A586" t="s">
        <v>91</v>
      </c>
      <c r="B586" t="s">
        <v>385</v>
      </c>
      <c r="C586">
        <v>112</v>
      </c>
      <c r="D586">
        <v>1204.0999999999999</v>
      </c>
      <c r="E586" s="19">
        <v>45236</v>
      </c>
      <c r="F586">
        <v>1347.3</v>
      </c>
      <c r="G586" s="19">
        <v>45400</v>
      </c>
      <c r="H586">
        <v>11.892699941865301</v>
      </c>
    </row>
    <row r="587" spans="1:8" x14ac:dyDescent="0.25">
      <c r="A587" t="s">
        <v>91</v>
      </c>
      <c r="B587" t="s">
        <v>383</v>
      </c>
      <c r="C587">
        <v>12</v>
      </c>
      <c r="D587">
        <v>1173.5</v>
      </c>
      <c r="E587" s="19">
        <v>45216</v>
      </c>
      <c r="F587">
        <v>1208.5</v>
      </c>
      <c r="G587" s="19">
        <v>45232</v>
      </c>
      <c r="H587">
        <v>-2.9825308904985088</v>
      </c>
    </row>
    <row r="588" spans="1:8" x14ac:dyDescent="0.25">
      <c r="A588" t="s">
        <v>91</v>
      </c>
      <c r="B588" t="s">
        <v>385</v>
      </c>
      <c r="C588">
        <v>96</v>
      </c>
      <c r="D588">
        <v>956.25</v>
      </c>
      <c r="E588" s="19">
        <v>45075</v>
      </c>
      <c r="F588">
        <v>1167.75</v>
      </c>
      <c r="G588" s="19">
        <v>45212</v>
      </c>
      <c r="H588">
        <v>22.117647058823529</v>
      </c>
    </row>
    <row r="589" spans="1:8" x14ac:dyDescent="0.25">
      <c r="A589" t="s">
        <v>91</v>
      </c>
      <c r="B589" t="s">
        <v>383</v>
      </c>
      <c r="C589">
        <v>106</v>
      </c>
      <c r="D589">
        <v>1091.1500000000001</v>
      </c>
      <c r="E589" s="19">
        <v>44915</v>
      </c>
      <c r="F589">
        <v>945.45</v>
      </c>
      <c r="G589" s="19">
        <v>45071</v>
      </c>
      <c r="H589">
        <v>13.352884571323839</v>
      </c>
    </row>
    <row r="590" spans="1:8" x14ac:dyDescent="0.25">
      <c r="A590" t="s">
        <v>92</v>
      </c>
      <c r="B590" t="s">
        <v>383</v>
      </c>
      <c r="C590">
        <v>44</v>
      </c>
      <c r="D590">
        <v>537.1</v>
      </c>
      <c r="E590" s="19">
        <v>45596</v>
      </c>
      <c r="F590">
        <v>501.05</v>
      </c>
      <c r="G590" s="19">
        <v>45660</v>
      </c>
      <c r="H590">
        <v>6.7119716998696717</v>
      </c>
    </row>
    <row r="591" spans="1:8" x14ac:dyDescent="0.25">
      <c r="A591" t="s">
        <v>92</v>
      </c>
      <c r="B591" t="s">
        <v>385</v>
      </c>
      <c r="C591">
        <v>163</v>
      </c>
      <c r="D591">
        <v>401.85</v>
      </c>
      <c r="E591" s="19">
        <v>45353</v>
      </c>
      <c r="F591">
        <v>502</v>
      </c>
      <c r="G591" s="19">
        <v>45594</v>
      </c>
      <c r="H591">
        <v>24.922234664675869</v>
      </c>
    </row>
    <row r="592" spans="1:8" x14ac:dyDescent="0.25">
      <c r="A592" t="s">
        <v>92</v>
      </c>
      <c r="B592" t="s">
        <v>383</v>
      </c>
      <c r="C592">
        <v>14</v>
      </c>
      <c r="D592">
        <v>365.8</v>
      </c>
      <c r="E592" s="19">
        <v>45334</v>
      </c>
      <c r="F592">
        <v>384.15</v>
      </c>
      <c r="G592" s="19">
        <v>45351</v>
      </c>
      <c r="H592">
        <v>-5.0164024056861578</v>
      </c>
    </row>
    <row r="593" spans="1:8" x14ac:dyDescent="0.25">
      <c r="A593" t="s">
        <v>92</v>
      </c>
      <c r="B593" t="s">
        <v>385</v>
      </c>
      <c r="C593">
        <v>6</v>
      </c>
      <c r="D593">
        <v>378.95</v>
      </c>
      <c r="E593" s="19">
        <v>45323</v>
      </c>
      <c r="F593">
        <v>372.3</v>
      </c>
      <c r="G593" s="19">
        <v>45330</v>
      </c>
      <c r="H593">
        <v>-1.754848924660239</v>
      </c>
    </row>
    <row r="594" spans="1:8" x14ac:dyDescent="0.25">
      <c r="A594" t="s">
        <v>92</v>
      </c>
      <c r="B594" t="s">
        <v>383</v>
      </c>
      <c r="C594">
        <v>13</v>
      </c>
      <c r="D594">
        <v>367.65</v>
      </c>
      <c r="E594" s="19">
        <v>45302</v>
      </c>
      <c r="F594">
        <v>387</v>
      </c>
      <c r="G594" s="19">
        <v>45321</v>
      </c>
      <c r="H594">
        <v>-5.2631578947368487</v>
      </c>
    </row>
    <row r="595" spans="1:8" x14ac:dyDescent="0.25">
      <c r="A595" t="s">
        <v>92</v>
      </c>
      <c r="B595" t="s">
        <v>385</v>
      </c>
      <c r="C595">
        <v>59</v>
      </c>
      <c r="D595">
        <v>372.6</v>
      </c>
      <c r="E595" s="19">
        <v>45215</v>
      </c>
      <c r="F595">
        <v>376.25</v>
      </c>
      <c r="G595" s="19">
        <v>45300</v>
      </c>
      <c r="H595">
        <v>0.9796027911969879</v>
      </c>
    </row>
    <row r="596" spans="1:8" x14ac:dyDescent="0.25">
      <c r="A596" t="s">
        <v>92</v>
      </c>
      <c r="B596" t="s">
        <v>383</v>
      </c>
      <c r="C596">
        <v>26</v>
      </c>
      <c r="D596">
        <v>359.9</v>
      </c>
      <c r="E596" s="19">
        <v>45174</v>
      </c>
      <c r="F596">
        <v>367.55</v>
      </c>
      <c r="G596" s="19">
        <v>45211</v>
      </c>
      <c r="H596">
        <v>-2.125590441789396</v>
      </c>
    </row>
    <row r="597" spans="1:8" x14ac:dyDescent="0.25">
      <c r="A597" t="s">
        <v>92</v>
      </c>
      <c r="B597" t="s">
        <v>385</v>
      </c>
      <c r="C597">
        <v>80</v>
      </c>
      <c r="D597">
        <v>311.14999999999998</v>
      </c>
      <c r="E597" s="19">
        <v>45057</v>
      </c>
      <c r="F597">
        <v>358.3</v>
      </c>
      <c r="G597" s="19">
        <v>45170</v>
      </c>
      <c r="H597">
        <v>15.153462959987159</v>
      </c>
    </row>
    <row r="598" spans="1:8" x14ac:dyDescent="0.25">
      <c r="A598" t="s">
        <v>93</v>
      </c>
      <c r="B598" t="s">
        <v>383</v>
      </c>
      <c r="C598">
        <v>76</v>
      </c>
      <c r="D598">
        <v>493.25</v>
      </c>
      <c r="E598" s="19">
        <v>45551</v>
      </c>
      <c r="F598">
        <v>393.65</v>
      </c>
      <c r="G598" s="19">
        <v>45660</v>
      </c>
      <c r="H598">
        <v>20.19260010136848</v>
      </c>
    </row>
    <row r="599" spans="1:8" x14ac:dyDescent="0.25">
      <c r="A599" t="s">
        <v>93</v>
      </c>
      <c r="B599" t="s">
        <v>385</v>
      </c>
      <c r="C599">
        <v>254</v>
      </c>
      <c r="D599">
        <v>255.35</v>
      </c>
      <c r="E599" s="19">
        <v>45174</v>
      </c>
      <c r="F599">
        <v>495.65</v>
      </c>
      <c r="G599" s="19">
        <v>45547</v>
      </c>
      <c r="H599">
        <v>94.106128842764818</v>
      </c>
    </row>
    <row r="600" spans="1:8" x14ac:dyDescent="0.25">
      <c r="A600" t="s">
        <v>93</v>
      </c>
      <c r="B600" t="s">
        <v>383</v>
      </c>
      <c r="C600">
        <v>5</v>
      </c>
      <c r="D600">
        <v>229.4</v>
      </c>
      <c r="E600" s="19">
        <v>45166</v>
      </c>
      <c r="F600">
        <v>236.9</v>
      </c>
      <c r="G600" s="19">
        <v>45170</v>
      </c>
      <c r="H600">
        <v>-3.2693984306887529</v>
      </c>
    </row>
    <row r="601" spans="1:8" x14ac:dyDescent="0.25">
      <c r="A601" t="s">
        <v>93</v>
      </c>
      <c r="B601" t="s">
        <v>385</v>
      </c>
      <c r="C601">
        <v>16</v>
      </c>
      <c r="D601">
        <v>234.8</v>
      </c>
      <c r="E601" s="19">
        <v>45140</v>
      </c>
      <c r="F601">
        <v>229.75</v>
      </c>
      <c r="G601" s="19">
        <v>45162</v>
      </c>
      <c r="H601">
        <v>-2.1507666098807539</v>
      </c>
    </row>
    <row r="602" spans="1:8" x14ac:dyDescent="0.25">
      <c r="A602" t="s">
        <v>93</v>
      </c>
      <c r="B602" t="s">
        <v>383</v>
      </c>
      <c r="C602">
        <v>8</v>
      </c>
      <c r="D602">
        <v>229.65</v>
      </c>
      <c r="E602" s="19">
        <v>45127</v>
      </c>
      <c r="F602">
        <v>229.25</v>
      </c>
      <c r="G602" s="19">
        <v>45138</v>
      </c>
      <c r="H602">
        <v>0.17417809710429161</v>
      </c>
    </row>
    <row r="603" spans="1:8" x14ac:dyDescent="0.25">
      <c r="A603" t="s">
        <v>93</v>
      </c>
      <c r="B603" t="s">
        <v>385</v>
      </c>
      <c r="C603">
        <v>5</v>
      </c>
      <c r="D603">
        <v>233.95</v>
      </c>
      <c r="E603" s="19">
        <v>45119</v>
      </c>
      <c r="F603">
        <v>228.2</v>
      </c>
      <c r="G603" s="19">
        <v>45125</v>
      </c>
      <c r="H603">
        <v>-2.4577901260953201</v>
      </c>
    </row>
    <row r="604" spans="1:8" x14ac:dyDescent="0.25">
      <c r="A604" t="s">
        <v>93</v>
      </c>
      <c r="B604" t="s">
        <v>383</v>
      </c>
      <c r="C604">
        <v>13</v>
      </c>
      <c r="D604">
        <v>228.5</v>
      </c>
      <c r="E604" s="19">
        <v>45098</v>
      </c>
      <c r="F604">
        <v>233.8</v>
      </c>
      <c r="G604" s="19">
        <v>45117</v>
      </c>
      <c r="H604">
        <v>-2.3194748358862189</v>
      </c>
    </row>
    <row r="605" spans="1:8" x14ac:dyDescent="0.25">
      <c r="A605" t="s">
        <v>93</v>
      </c>
      <c r="B605" t="s">
        <v>385</v>
      </c>
      <c r="C605">
        <v>46</v>
      </c>
      <c r="D605">
        <v>225.5</v>
      </c>
      <c r="E605" s="19">
        <v>45029</v>
      </c>
      <c r="F605">
        <v>227.5</v>
      </c>
      <c r="G605" s="19">
        <v>45096</v>
      </c>
      <c r="H605">
        <v>0.88691796008869184</v>
      </c>
    </row>
    <row r="606" spans="1:8" x14ac:dyDescent="0.25">
      <c r="A606" t="s">
        <v>94</v>
      </c>
      <c r="B606" t="s">
        <v>383</v>
      </c>
      <c r="C606">
        <v>90</v>
      </c>
      <c r="D606">
        <v>2059.75</v>
      </c>
      <c r="E606" s="19">
        <v>45531</v>
      </c>
      <c r="F606">
        <v>1598.25</v>
      </c>
      <c r="G606" s="19">
        <v>45660</v>
      </c>
      <c r="H606">
        <v>22.405631751426149</v>
      </c>
    </row>
    <row r="607" spans="1:8" x14ac:dyDescent="0.25">
      <c r="A607" t="s">
        <v>94</v>
      </c>
      <c r="B607" t="s">
        <v>385</v>
      </c>
      <c r="C607">
        <v>331</v>
      </c>
      <c r="D607">
        <v>249.5</v>
      </c>
      <c r="E607" s="19">
        <v>45042</v>
      </c>
      <c r="F607">
        <v>2085.1999999999998</v>
      </c>
      <c r="G607" s="19">
        <v>45527</v>
      </c>
      <c r="H607">
        <v>735.75150300601194</v>
      </c>
    </row>
    <row r="608" spans="1:8" x14ac:dyDescent="0.25">
      <c r="A608" t="s">
        <v>95</v>
      </c>
      <c r="B608" t="s">
        <v>383</v>
      </c>
      <c r="C608">
        <v>49</v>
      </c>
      <c r="D608">
        <v>3212.7</v>
      </c>
      <c r="E608" s="19">
        <v>45589</v>
      </c>
      <c r="F608">
        <v>2821.25</v>
      </c>
      <c r="G608" s="19">
        <v>45660</v>
      </c>
      <c r="H608">
        <v>12.18445544246272</v>
      </c>
    </row>
    <row r="609" spans="1:8" x14ac:dyDescent="0.25">
      <c r="A609" t="s">
        <v>95</v>
      </c>
      <c r="B609" t="s">
        <v>385</v>
      </c>
      <c r="C609">
        <v>403</v>
      </c>
      <c r="D609">
        <v>1501.85</v>
      </c>
      <c r="E609" s="19">
        <v>44993</v>
      </c>
      <c r="F609">
        <v>3340.1</v>
      </c>
      <c r="G609" s="19">
        <v>45587</v>
      </c>
      <c r="H609">
        <v>122.39904118254159</v>
      </c>
    </row>
    <row r="610" spans="1:8" x14ac:dyDescent="0.25">
      <c r="A610" t="s">
        <v>96</v>
      </c>
      <c r="B610" t="s">
        <v>383</v>
      </c>
      <c r="C610">
        <v>57</v>
      </c>
      <c r="D610">
        <v>799.45</v>
      </c>
      <c r="E610" s="19">
        <v>45579</v>
      </c>
      <c r="F610">
        <v>750.4</v>
      </c>
      <c r="G610" s="19">
        <v>45660</v>
      </c>
      <c r="H610">
        <v>6.1354681343423687</v>
      </c>
    </row>
    <row r="611" spans="1:8" x14ac:dyDescent="0.25">
      <c r="A611" t="s">
        <v>96</v>
      </c>
      <c r="B611" t="s">
        <v>385</v>
      </c>
      <c r="C611">
        <v>6</v>
      </c>
      <c r="D611">
        <v>812.75</v>
      </c>
      <c r="E611" s="19">
        <v>45568</v>
      </c>
      <c r="F611">
        <v>815.9</v>
      </c>
      <c r="G611" s="19">
        <v>45575</v>
      </c>
      <c r="H611">
        <v>0.3875730544447834</v>
      </c>
    </row>
    <row r="612" spans="1:8" x14ac:dyDescent="0.25">
      <c r="A612" t="s">
        <v>96</v>
      </c>
      <c r="B612" t="s">
        <v>383</v>
      </c>
      <c r="C612">
        <v>114</v>
      </c>
      <c r="D612">
        <v>920.25</v>
      </c>
      <c r="E612" s="19">
        <v>45400</v>
      </c>
      <c r="F612">
        <v>842</v>
      </c>
      <c r="G612" s="19">
        <v>45565</v>
      </c>
      <c r="H612">
        <v>8.5031241510459115</v>
      </c>
    </row>
    <row r="613" spans="1:8" x14ac:dyDescent="0.25">
      <c r="A613" t="s">
        <v>96</v>
      </c>
      <c r="B613" t="s">
        <v>385</v>
      </c>
      <c r="C613">
        <v>4</v>
      </c>
      <c r="D613">
        <v>940.15</v>
      </c>
      <c r="E613" s="19">
        <v>45391</v>
      </c>
      <c r="F613">
        <v>904.25</v>
      </c>
      <c r="G613" s="19">
        <v>45397</v>
      </c>
      <c r="H613">
        <v>-3.8185395947455172</v>
      </c>
    </row>
    <row r="614" spans="1:8" x14ac:dyDescent="0.25">
      <c r="A614" t="s">
        <v>96</v>
      </c>
      <c r="B614" t="s">
        <v>383</v>
      </c>
      <c r="C614">
        <v>38</v>
      </c>
      <c r="D614">
        <v>882.75</v>
      </c>
      <c r="E614" s="19">
        <v>45334</v>
      </c>
      <c r="F614">
        <v>966.65</v>
      </c>
      <c r="G614" s="19">
        <v>45387</v>
      </c>
      <c r="H614">
        <v>-9.5043896913055779</v>
      </c>
    </row>
    <row r="615" spans="1:8" x14ac:dyDescent="0.25">
      <c r="A615" t="s">
        <v>96</v>
      </c>
      <c r="B615" t="s">
        <v>385</v>
      </c>
      <c r="C615">
        <v>256</v>
      </c>
      <c r="D615">
        <v>455.5</v>
      </c>
      <c r="E615" s="19">
        <v>44953</v>
      </c>
      <c r="F615">
        <v>875.9</v>
      </c>
      <c r="G615" s="19">
        <v>45330</v>
      </c>
      <c r="H615">
        <v>92.294182217343575</v>
      </c>
    </row>
    <row r="616" spans="1:8" x14ac:dyDescent="0.25">
      <c r="A616" t="s">
        <v>97</v>
      </c>
      <c r="B616" t="s">
        <v>385</v>
      </c>
      <c r="C616">
        <v>38</v>
      </c>
      <c r="D616">
        <v>1752</v>
      </c>
      <c r="E616" s="19">
        <v>45604</v>
      </c>
      <c r="F616">
        <v>1958.3</v>
      </c>
      <c r="G616" s="19">
        <v>45660</v>
      </c>
      <c r="H616">
        <v>11.77511415525114</v>
      </c>
    </row>
    <row r="617" spans="1:8" x14ac:dyDescent="0.25">
      <c r="A617" t="s">
        <v>97</v>
      </c>
      <c r="B617" t="s">
        <v>383</v>
      </c>
      <c r="C617">
        <v>21</v>
      </c>
      <c r="D617">
        <v>1610.55</v>
      </c>
      <c r="E617" s="19">
        <v>45574</v>
      </c>
      <c r="F617">
        <v>1726.1</v>
      </c>
      <c r="G617" s="19">
        <v>45602</v>
      </c>
      <c r="H617">
        <v>-7.1745676942659324</v>
      </c>
    </row>
    <row r="618" spans="1:8" x14ac:dyDescent="0.25">
      <c r="A618" t="s">
        <v>97</v>
      </c>
      <c r="B618" t="s">
        <v>385</v>
      </c>
      <c r="C618">
        <v>123</v>
      </c>
      <c r="D618">
        <v>1147.9000000000001</v>
      </c>
      <c r="E618" s="19">
        <v>45391</v>
      </c>
      <c r="F618">
        <v>1566.25</v>
      </c>
      <c r="G618" s="19">
        <v>45572</v>
      </c>
      <c r="H618">
        <v>36.444812265876813</v>
      </c>
    </row>
    <row r="619" spans="1:8" x14ac:dyDescent="0.25">
      <c r="A619" t="s">
        <v>97</v>
      </c>
      <c r="B619" t="s">
        <v>383</v>
      </c>
      <c r="C619">
        <v>48</v>
      </c>
      <c r="D619">
        <v>1136.05</v>
      </c>
      <c r="E619" s="19">
        <v>45320</v>
      </c>
      <c r="F619">
        <v>1161.4000000000001</v>
      </c>
      <c r="G619" s="19">
        <v>45387</v>
      </c>
      <c r="H619">
        <v>-2.231415870780348</v>
      </c>
    </row>
    <row r="620" spans="1:8" x14ac:dyDescent="0.25">
      <c r="A620" t="s">
        <v>97</v>
      </c>
      <c r="B620" t="s">
        <v>385</v>
      </c>
      <c r="C620">
        <v>43</v>
      </c>
      <c r="D620">
        <v>1129.0999999999999</v>
      </c>
      <c r="E620" s="19">
        <v>45253</v>
      </c>
      <c r="F620">
        <v>1150.1500000000001</v>
      </c>
      <c r="G620" s="19">
        <v>45315</v>
      </c>
      <c r="H620">
        <v>1.864316712425842</v>
      </c>
    </row>
    <row r="621" spans="1:8" x14ac:dyDescent="0.25">
      <c r="A621" t="s">
        <v>97</v>
      </c>
      <c r="B621" t="s">
        <v>383</v>
      </c>
      <c r="C621">
        <v>13</v>
      </c>
      <c r="D621">
        <v>1071.95</v>
      </c>
      <c r="E621" s="19">
        <v>45233</v>
      </c>
      <c r="F621">
        <v>1119.55</v>
      </c>
      <c r="G621" s="19">
        <v>45251</v>
      </c>
      <c r="H621">
        <v>-4.4405056205979667</v>
      </c>
    </row>
    <row r="622" spans="1:8" x14ac:dyDescent="0.25">
      <c r="A622" t="s">
        <v>97</v>
      </c>
      <c r="B622" t="s">
        <v>385</v>
      </c>
      <c r="C622">
        <v>138</v>
      </c>
      <c r="D622">
        <v>927.25</v>
      </c>
      <c r="E622" s="19">
        <v>45029</v>
      </c>
      <c r="F622">
        <v>1043.7</v>
      </c>
      <c r="G622" s="19">
        <v>45231</v>
      </c>
      <c r="H622">
        <v>12.55864114316528</v>
      </c>
    </row>
    <row r="623" spans="1:8" x14ac:dyDescent="0.25">
      <c r="A623" t="s">
        <v>98</v>
      </c>
      <c r="B623" t="s">
        <v>383</v>
      </c>
      <c r="C623">
        <v>130</v>
      </c>
      <c r="D623">
        <v>1322.1</v>
      </c>
      <c r="E623" s="19">
        <v>45471</v>
      </c>
      <c r="F623">
        <v>934.55</v>
      </c>
      <c r="G623" s="19">
        <v>45660</v>
      </c>
      <c r="H623">
        <v>29.313213826488159</v>
      </c>
    </row>
    <row r="624" spans="1:8" x14ac:dyDescent="0.25">
      <c r="A624" t="s">
        <v>98</v>
      </c>
      <c r="B624" t="s">
        <v>385</v>
      </c>
      <c r="C624">
        <v>7</v>
      </c>
      <c r="D624">
        <v>1496.05</v>
      </c>
      <c r="E624" s="19">
        <v>45461</v>
      </c>
      <c r="F624">
        <v>1359.05</v>
      </c>
      <c r="G624" s="19">
        <v>45469</v>
      </c>
      <c r="H624">
        <v>-9.1574479462584808</v>
      </c>
    </row>
    <row r="625" spans="1:8" x14ac:dyDescent="0.25">
      <c r="A625" t="s">
        <v>98</v>
      </c>
      <c r="B625" t="s">
        <v>383</v>
      </c>
      <c r="C625">
        <v>93</v>
      </c>
      <c r="D625">
        <v>1559.55</v>
      </c>
      <c r="E625" s="19">
        <v>45321</v>
      </c>
      <c r="F625">
        <v>1482.65</v>
      </c>
      <c r="G625" s="19">
        <v>45456</v>
      </c>
      <c r="H625">
        <v>4.9309095572440684</v>
      </c>
    </row>
    <row r="626" spans="1:8" x14ac:dyDescent="0.25">
      <c r="A626" t="s">
        <v>98</v>
      </c>
      <c r="B626" t="s">
        <v>385</v>
      </c>
      <c r="C626">
        <v>66</v>
      </c>
      <c r="D626">
        <v>1507.4</v>
      </c>
      <c r="E626" s="19">
        <v>45222</v>
      </c>
      <c r="F626">
        <v>1591.4</v>
      </c>
      <c r="G626" s="19">
        <v>45316</v>
      </c>
      <c r="H626">
        <v>5.5725089558179643</v>
      </c>
    </row>
    <row r="627" spans="1:8" x14ac:dyDescent="0.25">
      <c r="A627" t="s">
        <v>98</v>
      </c>
      <c r="B627" t="s">
        <v>383</v>
      </c>
      <c r="C627">
        <v>15</v>
      </c>
      <c r="D627">
        <v>1299.75</v>
      </c>
      <c r="E627" s="19">
        <v>45197</v>
      </c>
      <c r="F627">
        <v>1384.25</v>
      </c>
      <c r="G627" s="19">
        <v>45218</v>
      </c>
      <c r="H627">
        <v>-6.5012502404308519</v>
      </c>
    </row>
    <row r="628" spans="1:8" x14ac:dyDescent="0.25">
      <c r="A628" t="s">
        <v>98</v>
      </c>
      <c r="B628" t="s">
        <v>385</v>
      </c>
      <c r="C628">
        <v>116</v>
      </c>
      <c r="D628">
        <v>950.15</v>
      </c>
      <c r="E628" s="19">
        <v>45027</v>
      </c>
      <c r="F628">
        <v>1329.95</v>
      </c>
      <c r="G628" s="19">
        <v>45195</v>
      </c>
      <c r="H628">
        <v>39.972635899594813</v>
      </c>
    </row>
    <row r="629" spans="1:8" x14ac:dyDescent="0.25">
      <c r="A629" t="s">
        <v>99</v>
      </c>
      <c r="B629" t="s">
        <v>383</v>
      </c>
      <c r="C629">
        <v>64</v>
      </c>
      <c r="D629">
        <v>427.35</v>
      </c>
      <c r="E629" s="19">
        <v>45568</v>
      </c>
      <c r="F629">
        <v>366.75</v>
      </c>
      <c r="G629" s="19">
        <v>45660</v>
      </c>
      <c r="H629">
        <v>14.180414180414189</v>
      </c>
    </row>
    <row r="630" spans="1:8" x14ac:dyDescent="0.25">
      <c r="A630" t="s">
        <v>99</v>
      </c>
      <c r="B630" t="s">
        <v>385</v>
      </c>
      <c r="C630">
        <v>111</v>
      </c>
      <c r="D630">
        <v>307.95</v>
      </c>
      <c r="E630" s="19">
        <v>45405</v>
      </c>
      <c r="F630">
        <v>416.4</v>
      </c>
      <c r="G630" s="19">
        <v>45565</v>
      </c>
      <c r="H630">
        <v>35.216755966877741</v>
      </c>
    </row>
    <row r="631" spans="1:8" x14ac:dyDescent="0.25">
      <c r="A631" t="s">
        <v>99</v>
      </c>
      <c r="B631" t="s">
        <v>383</v>
      </c>
      <c r="C631">
        <v>48</v>
      </c>
      <c r="D631">
        <v>287.2</v>
      </c>
      <c r="E631" s="19">
        <v>45330</v>
      </c>
      <c r="F631">
        <v>297.05</v>
      </c>
      <c r="G631" s="19">
        <v>45401</v>
      </c>
      <c r="H631">
        <v>-3.4296657381615678</v>
      </c>
    </row>
    <row r="632" spans="1:8" x14ac:dyDescent="0.25">
      <c r="A632" t="s">
        <v>99</v>
      </c>
      <c r="B632" t="s">
        <v>385</v>
      </c>
      <c r="C632">
        <v>40</v>
      </c>
      <c r="D632">
        <v>297.75</v>
      </c>
      <c r="E632" s="19">
        <v>45271</v>
      </c>
      <c r="F632">
        <v>288.45</v>
      </c>
      <c r="G632" s="19">
        <v>45328</v>
      </c>
      <c r="H632">
        <v>-3.1234256926952182</v>
      </c>
    </row>
    <row r="633" spans="1:8" x14ac:dyDescent="0.25">
      <c r="A633" t="s">
        <v>99</v>
      </c>
      <c r="B633" t="s">
        <v>383</v>
      </c>
      <c r="C633">
        <v>32</v>
      </c>
      <c r="D633">
        <v>279.75</v>
      </c>
      <c r="E633" s="19">
        <v>45222</v>
      </c>
      <c r="F633">
        <v>301.7</v>
      </c>
      <c r="G633" s="19">
        <v>45267</v>
      </c>
      <c r="H633">
        <v>-7.8462913315460199</v>
      </c>
    </row>
    <row r="634" spans="1:8" x14ac:dyDescent="0.25">
      <c r="A634" t="s">
        <v>99</v>
      </c>
      <c r="B634" t="s">
        <v>385</v>
      </c>
      <c r="C634">
        <v>86</v>
      </c>
      <c r="D634">
        <v>292.75</v>
      </c>
      <c r="E634" s="19">
        <v>45093</v>
      </c>
      <c r="F634">
        <v>295.05</v>
      </c>
      <c r="G634" s="19">
        <v>45218</v>
      </c>
      <c r="H634">
        <v>0.78565328778821919</v>
      </c>
    </row>
    <row r="635" spans="1:8" x14ac:dyDescent="0.25">
      <c r="A635" t="s">
        <v>99</v>
      </c>
      <c r="B635" t="s">
        <v>383</v>
      </c>
      <c r="C635">
        <v>163</v>
      </c>
      <c r="D635">
        <v>387.65</v>
      </c>
      <c r="E635" s="19">
        <v>44852</v>
      </c>
      <c r="F635">
        <v>287.75</v>
      </c>
      <c r="G635" s="19">
        <v>45091</v>
      </c>
      <c r="H635">
        <v>25.770669418289689</v>
      </c>
    </row>
    <row r="636" spans="1:8" x14ac:dyDescent="0.25">
      <c r="A636" t="s">
        <v>100</v>
      </c>
      <c r="B636" t="s">
        <v>383</v>
      </c>
      <c r="C636">
        <v>61</v>
      </c>
      <c r="D636">
        <v>3708.3</v>
      </c>
      <c r="E636" s="19">
        <v>45573</v>
      </c>
      <c r="F636">
        <v>3216.9</v>
      </c>
      <c r="G636" s="19">
        <v>45660</v>
      </c>
      <c r="H636">
        <v>13.251355068360169</v>
      </c>
    </row>
    <row r="637" spans="1:8" x14ac:dyDescent="0.25">
      <c r="A637" t="s">
        <v>100</v>
      </c>
      <c r="B637" t="s">
        <v>385</v>
      </c>
      <c r="C637">
        <v>221</v>
      </c>
      <c r="D637">
        <v>1826.75</v>
      </c>
      <c r="E637" s="19">
        <v>45245</v>
      </c>
      <c r="F637">
        <v>3623.5</v>
      </c>
      <c r="G637" s="19">
        <v>45569</v>
      </c>
      <c r="H637">
        <v>98.357739154235674</v>
      </c>
    </row>
    <row r="638" spans="1:8" x14ac:dyDescent="0.25">
      <c r="A638" t="s">
        <v>100</v>
      </c>
      <c r="B638" t="s">
        <v>383</v>
      </c>
      <c r="C638">
        <v>61</v>
      </c>
      <c r="D638">
        <v>1736.75</v>
      </c>
      <c r="E638" s="19">
        <v>45154</v>
      </c>
      <c r="F638">
        <v>1777</v>
      </c>
      <c r="G638" s="19">
        <v>45242</v>
      </c>
      <c r="H638">
        <v>-2.3175471426515042</v>
      </c>
    </row>
    <row r="639" spans="1:8" x14ac:dyDescent="0.25">
      <c r="A639" t="s">
        <v>100</v>
      </c>
      <c r="B639" t="s">
        <v>385</v>
      </c>
      <c r="C639">
        <v>67</v>
      </c>
      <c r="D639">
        <v>1640.35</v>
      </c>
      <c r="E639" s="19">
        <v>45056</v>
      </c>
      <c r="F639">
        <v>1735</v>
      </c>
      <c r="G639" s="19">
        <v>45149</v>
      </c>
      <c r="H639">
        <v>5.7701100374920049</v>
      </c>
    </row>
    <row r="640" spans="1:8" x14ac:dyDescent="0.25">
      <c r="A640" t="s">
        <v>101</v>
      </c>
      <c r="B640" t="s">
        <v>383</v>
      </c>
      <c r="C640">
        <v>8</v>
      </c>
      <c r="D640">
        <v>307.2</v>
      </c>
      <c r="E640" s="19">
        <v>45650</v>
      </c>
      <c r="F640">
        <v>305.8</v>
      </c>
      <c r="G640" s="19">
        <v>45660</v>
      </c>
      <c r="H640">
        <v>0.4557291666666593</v>
      </c>
    </row>
    <row r="641" spans="1:8" x14ac:dyDescent="0.25">
      <c r="A641" t="s">
        <v>101</v>
      </c>
      <c r="B641" t="s">
        <v>385</v>
      </c>
      <c r="C641">
        <v>5</v>
      </c>
      <c r="D641">
        <v>326.5</v>
      </c>
      <c r="E641" s="19">
        <v>45642</v>
      </c>
      <c r="F641">
        <v>308.5</v>
      </c>
      <c r="G641" s="19">
        <v>45646</v>
      </c>
      <c r="H641">
        <v>-5.5130168453292496</v>
      </c>
    </row>
    <row r="642" spans="1:8" x14ac:dyDescent="0.25">
      <c r="A642" t="s">
        <v>101</v>
      </c>
      <c r="B642" t="s">
        <v>383</v>
      </c>
      <c r="C642">
        <v>35</v>
      </c>
      <c r="D642">
        <v>316.55</v>
      </c>
      <c r="E642" s="19">
        <v>45588</v>
      </c>
      <c r="F642">
        <v>323.95</v>
      </c>
      <c r="G642" s="19">
        <v>45638</v>
      </c>
      <c r="H642">
        <v>-2.3377033643974019</v>
      </c>
    </row>
    <row r="643" spans="1:8" x14ac:dyDescent="0.25">
      <c r="A643" t="s">
        <v>101</v>
      </c>
      <c r="B643" t="s">
        <v>385</v>
      </c>
      <c r="C643">
        <v>18</v>
      </c>
      <c r="D643">
        <v>367.1</v>
      </c>
      <c r="E643" s="19">
        <v>45560</v>
      </c>
      <c r="F643">
        <v>333.9</v>
      </c>
      <c r="G643" s="19">
        <v>45586</v>
      </c>
      <c r="H643">
        <v>-9.0438572596022997</v>
      </c>
    </row>
    <row r="644" spans="1:8" x14ac:dyDescent="0.25">
      <c r="A644" t="s">
        <v>101</v>
      </c>
      <c r="B644" t="s">
        <v>383</v>
      </c>
      <c r="C644">
        <v>11</v>
      </c>
      <c r="D644">
        <v>325.89999999999998</v>
      </c>
      <c r="E644" s="19">
        <v>45544</v>
      </c>
      <c r="F644">
        <v>335.7</v>
      </c>
      <c r="G644" s="19">
        <v>45558</v>
      </c>
      <c r="H644">
        <v>-3.0070573795642872</v>
      </c>
    </row>
    <row r="645" spans="1:8" x14ac:dyDescent="0.25">
      <c r="A645" t="s">
        <v>101</v>
      </c>
      <c r="B645" t="s">
        <v>385</v>
      </c>
      <c r="C645">
        <v>72</v>
      </c>
      <c r="D645">
        <v>292.60000000000002</v>
      </c>
      <c r="E645" s="19">
        <v>45436</v>
      </c>
      <c r="F645">
        <v>333.6</v>
      </c>
      <c r="G645" s="19">
        <v>45540</v>
      </c>
      <c r="H645">
        <v>14.012303485987699</v>
      </c>
    </row>
    <row r="646" spans="1:8" x14ac:dyDescent="0.25">
      <c r="A646" t="s">
        <v>101</v>
      </c>
      <c r="B646" t="s">
        <v>383</v>
      </c>
      <c r="C646">
        <v>11</v>
      </c>
      <c r="D646">
        <v>264.85000000000002</v>
      </c>
      <c r="E646" s="19">
        <v>45420</v>
      </c>
      <c r="F646">
        <v>293.35000000000002</v>
      </c>
      <c r="G646" s="19">
        <v>45434</v>
      </c>
      <c r="H646">
        <v>-10.760808004530871</v>
      </c>
    </row>
    <row r="647" spans="1:8" x14ac:dyDescent="0.25">
      <c r="A647" t="s">
        <v>101</v>
      </c>
      <c r="B647" t="s">
        <v>385</v>
      </c>
      <c r="C647">
        <v>6</v>
      </c>
      <c r="D647">
        <v>282.3</v>
      </c>
      <c r="E647" s="19">
        <v>45408</v>
      </c>
      <c r="F647">
        <v>272.5</v>
      </c>
      <c r="G647" s="19">
        <v>45418</v>
      </c>
      <c r="H647">
        <v>-3.4714842366277048</v>
      </c>
    </row>
    <row r="648" spans="1:8" x14ac:dyDescent="0.25">
      <c r="A648" t="s">
        <v>101</v>
      </c>
      <c r="B648" t="s">
        <v>383</v>
      </c>
      <c r="C648">
        <v>30</v>
      </c>
      <c r="D648">
        <v>264.60000000000002</v>
      </c>
      <c r="E648" s="19">
        <v>45357</v>
      </c>
      <c r="F648">
        <v>283.89999999999998</v>
      </c>
      <c r="G648" s="19">
        <v>45406</v>
      </c>
      <c r="H648">
        <v>-7.2940287226001326</v>
      </c>
    </row>
    <row r="649" spans="1:8" x14ac:dyDescent="0.25">
      <c r="A649" t="s">
        <v>101</v>
      </c>
      <c r="B649" t="s">
        <v>385</v>
      </c>
      <c r="C649">
        <v>38</v>
      </c>
      <c r="D649">
        <v>292.35000000000002</v>
      </c>
      <c r="E649" s="19">
        <v>45302</v>
      </c>
      <c r="F649">
        <v>293.14999999999998</v>
      </c>
      <c r="G649" s="19">
        <v>45355</v>
      </c>
      <c r="H649">
        <v>0.27364460407044788</v>
      </c>
    </row>
    <row r="650" spans="1:8" x14ac:dyDescent="0.25">
      <c r="A650" t="s">
        <v>101</v>
      </c>
      <c r="B650" t="s">
        <v>383</v>
      </c>
      <c r="C650">
        <v>20</v>
      </c>
      <c r="D650">
        <v>250.5</v>
      </c>
      <c r="E650" s="19">
        <v>45272</v>
      </c>
      <c r="F650">
        <v>284</v>
      </c>
      <c r="G650" s="19">
        <v>45300</v>
      </c>
      <c r="H650">
        <v>-13.373253493013969</v>
      </c>
    </row>
    <row r="651" spans="1:8" x14ac:dyDescent="0.25">
      <c r="A651" t="s">
        <v>101</v>
      </c>
      <c r="B651" t="s">
        <v>385</v>
      </c>
      <c r="C651">
        <v>158</v>
      </c>
      <c r="D651">
        <v>117.3</v>
      </c>
      <c r="E651" s="19">
        <v>45040</v>
      </c>
      <c r="F651">
        <v>250.8</v>
      </c>
      <c r="G651" s="19">
        <v>45268</v>
      </c>
      <c r="H651">
        <v>113.8107416879795</v>
      </c>
    </row>
    <row r="652" spans="1:8" x14ac:dyDescent="0.25">
      <c r="A652" t="s">
        <v>102</v>
      </c>
      <c r="B652" t="s">
        <v>383</v>
      </c>
      <c r="C652">
        <v>62</v>
      </c>
      <c r="D652">
        <v>569.4</v>
      </c>
      <c r="E652" s="19">
        <v>45572</v>
      </c>
      <c r="F652">
        <v>524.9</v>
      </c>
      <c r="G652" s="19">
        <v>45660</v>
      </c>
      <c r="H652">
        <v>7.8152441166139797</v>
      </c>
    </row>
    <row r="653" spans="1:8" x14ac:dyDescent="0.25">
      <c r="A653" t="s">
        <v>102</v>
      </c>
      <c r="B653" t="s">
        <v>385</v>
      </c>
      <c r="C653">
        <v>101</v>
      </c>
      <c r="D653">
        <v>550.79999999999995</v>
      </c>
      <c r="E653" s="19">
        <v>45422</v>
      </c>
      <c r="F653">
        <v>580.20000000000005</v>
      </c>
      <c r="G653" s="19">
        <v>45568</v>
      </c>
      <c r="H653">
        <v>5.3376906318082957</v>
      </c>
    </row>
    <row r="654" spans="1:8" x14ac:dyDescent="0.25">
      <c r="A654" t="s">
        <v>102</v>
      </c>
      <c r="B654" t="s">
        <v>383</v>
      </c>
      <c r="C654">
        <v>69</v>
      </c>
      <c r="D654">
        <v>531.6</v>
      </c>
      <c r="E654" s="19">
        <v>45316</v>
      </c>
      <c r="F654">
        <v>556.6</v>
      </c>
      <c r="G654" s="19">
        <v>45420</v>
      </c>
      <c r="H654">
        <v>-4.7027840481565084</v>
      </c>
    </row>
    <row r="655" spans="1:8" x14ac:dyDescent="0.25">
      <c r="A655" t="s">
        <v>102</v>
      </c>
      <c r="B655" t="s">
        <v>385</v>
      </c>
      <c r="C655">
        <v>16</v>
      </c>
      <c r="D655">
        <v>556.85</v>
      </c>
      <c r="E655" s="19">
        <v>45293</v>
      </c>
      <c r="F655">
        <v>524.79999999999995</v>
      </c>
      <c r="G655" s="19">
        <v>45314</v>
      </c>
      <c r="H655">
        <v>-5.7555894765197211</v>
      </c>
    </row>
    <row r="656" spans="1:8" x14ac:dyDescent="0.25">
      <c r="A656" t="s">
        <v>102</v>
      </c>
      <c r="B656" t="s">
        <v>383</v>
      </c>
      <c r="C656">
        <v>4</v>
      </c>
      <c r="D656">
        <v>530.6</v>
      </c>
      <c r="E656" s="19">
        <v>45286</v>
      </c>
      <c r="F656">
        <v>557.20000000000005</v>
      </c>
      <c r="G656" s="19">
        <v>45289</v>
      </c>
      <c r="H656">
        <v>-5.0131926121372068</v>
      </c>
    </row>
    <row r="657" spans="1:8" x14ac:dyDescent="0.25">
      <c r="A657" t="s">
        <v>102</v>
      </c>
      <c r="B657" t="s">
        <v>385</v>
      </c>
      <c r="C657">
        <v>9</v>
      </c>
      <c r="D657">
        <v>550.5</v>
      </c>
      <c r="E657" s="19">
        <v>45271</v>
      </c>
      <c r="F657">
        <v>530.25</v>
      </c>
      <c r="G657" s="19">
        <v>45281</v>
      </c>
      <c r="H657">
        <v>-3.6784741144414168</v>
      </c>
    </row>
    <row r="658" spans="1:8" x14ac:dyDescent="0.25">
      <c r="A658" t="s">
        <v>102</v>
      </c>
      <c r="B658" t="s">
        <v>383</v>
      </c>
      <c r="C658">
        <v>69</v>
      </c>
      <c r="D658">
        <v>550.95000000000005</v>
      </c>
      <c r="E658" s="19">
        <v>45167</v>
      </c>
      <c r="F658">
        <v>545.79999999999995</v>
      </c>
      <c r="G658" s="19">
        <v>45267</v>
      </c>
      <c r="H658">
        <v>0.93474906978856342</v>
      </c>
    </row>
    <row r="659" spans="1:8" x14ac:dyDescent="0.25">
      <c r="A659" t="s">
        <v>102</v>
      </c>
      <c r="B659" t="s">
        <v>385</v>
      </c>
      <c r="C659">
        <v>61</v>
      </c>
      <c r="D659">
        <v>555.4</v>
      </c>
      <c r="E659" s="19">
        <v>45077</v>
      </c>
      <c r="F659">
        <v>557.95000000000005</v>
      </c>
      <c r="G659" s="19">
        <v>45163</v>
      </c>
      <c r="H659">
        <v>0.45912855599569108</v>
      </c>
    </row>
    <row r="660" spans="1:8" x14ac:dyDescent="0.25">
      <c r="A660" t="s">
        <v>102</v>
      </c>
      <c r="B660" t="s">
        <v>383</v>
      </c>
      <c r="C660">
        <v>93</v>
      </c>
      <c r="D660">
        <v>554.6</v>
      </c>
      <c r="E660" s="19">
        <v>44936</v>
      </c>
      <c r="F660">
        <v>548.35</v>
      </c>
      <c r="G660" s="19">
        <v>45075</v>
      </c>
      <c r="H660">
        <v>1.126938333934367</v>
      </c>
    </row>
    <row r="661" spans="1:8" x14ac:dyDescent="0.25">
      <c r="A661" t="s">
        <v>103</v>
      </c>
      <c r="B661" t="s">
        <v>383</v>
      </c>
      <c r="C661">
        <v>59</v>
      </c>
      <c r="D661">
        <v>2770.55</v>
      </c>
      <c r="E661" s="19">
        <v>45575</v>
      </c>
      <c r="F661">
        <v>2452.6999999999998</v>
      </c>
      <c r="G661" s="19">
        <v>45660</v>
      </c>
      <c r="H661">
        <v>11.472451318330309</v>
      </c>
    </row>
    <row r="662" spans="1:8" x14ac:dyDescent="0.25">
      <c r="A662" t="s">
        <v>103</v>
      </c>
      <c r="B662" t="s">
        <v>385</v>
      </c>
      <c r="C662">
        <v>76</v>
      </c>
      <c r="D662">
        <v>2605.25</v>
      </c>
      <c r="E662" s="19">
        <v>45463</v>
      </c>
      <c r="F662">
        <v>2790.65</v>
      </c>
      <c r="G662" s="19">
        <v>45573</v>
      </c>
      <c r="H662">
        <v>7.116399577775649</v>
      </c>
    </row>
    <row r="663" spans="1:8" x14ac:dyDescent="0.25">
      <c r="A663" t="s">
        <v>103</v>
      </c>
      <c r="B663" t="s">
        <v>383</v>
      </c>
      <c r="C663">
        <v>9</v>
      </c>
      <c r="D663">
        <v>2228.15</v>
      </c>
      <c r="E663" s="19">
        <v>45448</v>
      </c>
      <c r="F663">
        <v>2422.35</v>
      </c>
      <c r="G663" s="19">
        <v>45461</v>
      </c>
      <c r="H663">
        <v>-8.7157507349146073</v>
      </c>
    </row>
    <row r="664" spans="1:8" x14ac:dyDescent="0.25">
      <c r="A664" t="s">
        <v>103</v>
      </c>
      <c r="B664" t="s">
        <v>385</v>
      </c>
      <c r="C664">
        <v>32</v>
      </c>
      <c r="D664">
        <v>2305.25</v>
      </c>
      <c r="E664" s="19">
        <v>45400</v>
      </c>
      <c r="F664">
        <v>2244.65</v>
      </c>
      <c r="G664" s="19">
        <v>45446</v>
      </c>
      <c r="H664">
        <v>-2.628782127751867</v>
      </c>
    </row>
    <row r="665" spans="1:8" x14ac:dyDescent="0.25">
      <c r="A665" t="s">
        <v>103</v>
      </c>
      <c r="B665" t="s">
        <v>383</v>
      </c>
      <c r="C665">
        <v>46</v>
      </c>
      <c r="D665">
        <v>2230.1999999999998</v>
      </c>
      <c r="E665" s="19">
        <v>45329</v>
      </c>
      <c r="F665">
        <v>2298.9</v>
      </c>
      <c r="G665" s="19">
        <v>45397</v>
      </c>
      <c r="H665">
        <v>-3.080441216034449</v>
      </c>
    </row>
    <row r="666" spans="1:8" x14ac:dyDescent="0.25">
      <c r="A666" t="s">
        <v>103</v>
      </c>
      <c r="B666" t="s">
        <v>385</v>
      </c>
      <c r="C666">
        <v>52</v>
      </c>
      <c r="D666">
        <v>2125.1</v>
      </c>
      <c r="E666" s="19">
        <v>45251</v>
      </c>
      <c r="F666">
        <v>2212.0500000000002</v>
      </c>
      <c r="G666" s="19">
        <v>45327</v>
      </c>
      <c r="H666">
        <v>4.0915721613100686</v>
      </c>
    </row>
    <row r="667" spans="1:8" x14ac:dyDescent="0.25">
      <c r="A667" t="s">
        <v>103</v>
      </c>
      <c r="B667" t="s">
        <v>383</v>
      </c>
      <c r="C667">
        <v>25</v>
      </c>
      <c r="D667">
        <v>2083.35</v>
      </c>
      <c r="E667" s="19">
        <v>45212</v>
      </c>
      <c r="F667">
        <v>2147.9</v>
      </c>
      <c r="G667" s="19">
        <v>45247</v>
      </c>
      <c r="H667">
        <v>-3.0983752129983051</v>
      </c>
    </row>
    <row r="668" spans="1:8" x14ac:dyDescent="0.25">
      <c r="A668" t="s">
        <v>103</v>
      </c>
      <c r="B668" t="s">
        <v>385</v>
      </c>
      <c r="C668">
        <v>29</v>
      </c>
      <c r="D668">
        <v>2211</v>
      </c>
      <c r="E668" s="19">
        <v>45168</v>
      </c>
      <c r="F668">
        <v>2093.6999999999998</v>
      </c>
      <c r="G668" s="19">
        <v>45210</v>
      </c>
      <c r="H668">
        <v>-5.3052917232021786</v>
      </c>
    </row>
    <row r="669" spans="1:8" x14ac:dyDescent="0.25">
      <c r="A669" t="s">
        <v>103</v>
      </c>
      <c r="B669" t="s">
        <v>383</v>
      </c>
      <c r="C669">
        <v>28</v>
      </c>
      <c r="D669">
        <v>1990</v>
      </c>
      <c r="E669" s="19">
        <v>45126</v>
      </c>
      <c r="F669">
        <v>2036.45</v>
      </c>
      <c r="G669" s="19">
        <v>45166</v>
      </c>
      <c r="H669">
        <v>-2.3341708542713588</v>
      </c>
    </row>
    <row r="670" spans="1:8" x14ac:dyDescent="0.25">
      <c r="A670" t="s">
        <v>103</v>
      </c>
      <c r="B670" t="s">
        <v>385</v>
      </c>
      <c r="C670">
        <v>54</v>
      </c>
      <c r="D670">
        <v>1895.25</v>
      </c>
      <c r="E670" s="19">
        <v>45048</v>
      </c>
      <c r="F670">
        <v>1990.85</v>
      </c>
      <c r="G670" s="19">
        <v>45124</v>
      </c>
      <c r="H670">
        <v>5.0441894209207181</v>
      </c>
    </row>
    <row r="671" spans="1:8" x14ac:dyDescent="0.25">
      <c r="A671" t="s">
        <v>104</v>
      </c>
      <c r="B671" t="s">
        <v>383</v>
      </c>
      <c r="C671">
        <v>77</v>
      </c>
      <c r="D671">
        <v>131.29</v>
      </c>
      <c r="E671" s="19">
        <v>45548</v>
      </c>
      <c r="F671">
        <v>112.94</v>
      </c>
      <c r="G671" s="19">
        <v>45660</v>
      </c>
      <c r="H671">
        <v>13.97669281742707</v>
      </c>
    </row>
    <row r="672" spans="1:8" x14ac:dyDescent="0.25">
      <c r="A672" t="s">
        <v>104</v>
      </c>
      <c r="B672" t="s">
        <v>385</v>
      </c>
      <c r="C672">
        <v>7</v>
      </c>
      <c r="D672">
        <v>134.09</v>
      </c>
      <c r="E672" s="19">
        <v>45538</v>
      </c>
      <c r="F672">
        <v>129.28</v>
      </c>
      <c r="G672" s="19">
        <v>45546</v>
      </c>
      <c r="H672">
        <v>-3.587142963681111</v>
      </c>
    </row>
    <row r="673" spans="1:8" x14ac:dyDescent="0.25">
      <c r="A673" t="s">
        <v>104</v>
      </c>
      <c r="B673" t="s">
        <v>383</v>
      </c>
      <c r="C673">
        <v>12</v>
      </c>
      <c r="D673">
        <v>126.56</v>
      </c>
      <c r="E673" s="19">
        <v>45518</v>
      </c>
      <c r="F673">
        <v>133.49</v>
      </c>
      <c r="G673" s="19">
        <v>45534</v>
      </c>
      <c r="H673">
        <v>-5.4756637168141644</v>
      </c>
    </row>
    <row r="674" spans="1:8" x14ac:dyDescent="0.25">
      <c r="A674" t="s">
        <v>104</v>
      </c>
      <c r="B674" t="s">
        <v>385</v>
      </c>
      <c r="C674">
        <v>38</v>
      </c>
      <c r="D674">
        <v>147.41</v>
      </c>
      <c r="E674" s="19">
        <v>45462</v>
      </c>
      <c r="F674">
        <v>128.21</v>
      </c>
      <c r="G674" s="19">
        <v>45516</v>
      </c>
      <c r="H674">
        <v>-13.02489654704565</v>
      </c>
    </row>
    <row r="675" spans="1:8" x14ac:dyDescent="0.25">
      <c r="A675" t="s">
        <v>104</v>
      </c>
      <c r="B675" t="s">
        <v>383</v>
      </c>
      <c r="C675">
        <v>94</v>
      </c>
      <c r="D675">
        <v>138.9</v>
      </c>
      <c r="E675" s="19">
        <v>45321</v>
      </c>
      <c r="F675">
        <v>136.16</v>
      </c>
      <c r="G675" s="19">
        <v>45457</v>
      </c>
      <c r="H675">
        <v>1.972642188624917</v>
      </c>
    </row>
    <row r="676" spans="1:8" x14ac:dyDescent="0.25">
      <c r="A676" t="s">
        <v>104</v>
      </c>
      <c r="B676" t="s">
        <v>385</v>
      </c>
      <c r="C676">
        <v>17</v>
      </c>
      <c r="D676">
        <v>155.80000000000001</v>
      </c>
      <c r="E676" s="19">
        <v>45294</v>
      </c>
      <c r="F676">
        <v>138</v>
      </c>
      <c r="G676" s="19">
        <v>45316</v>
      </c>
      <c r="H676">
        <v>-11.424903722721441</v>
      </c>
    </row>
    <row r="677" spans="1:8" x14ac:dyDescent="0.25">
      <c r="A677" t="s">
        <v>104</v>
      </c>
      <c r="B677" t="s">
        <v>383</v>
      </c>
      <c r="C677">
        <v>115</v>
      </c>
      <c r="D677">
        <v>182.95</v>
      </c>
      <c r="E677" s="19">
        <v>45124</v>
      </c>
      <c r="F677">
        <v>151.5</v>
      </c>
      <c r="G677" s="19">
        <v>45292</v>
      </c>
      <c r="H677">
        <v>17.190489204700729</v>
      </c>
    </row>
    <row r="678" spans="1:8" x14ac:dyDescent="0.25">
      <c r="A678" t="s">
        <v>104</v>
      </c>
      <c r="B678" t="s">
        <v>385</v>
      </c>
      <c r="C678">
        <v>52</v>
      </c>
      <c r="D678">
        <v>209.3</v>
      </c>
      <c r="E678" s="19">
        <v>45048</v>
      </c>
      <c r="F678">
        <v>179.7</v>
      </c>
      <c r="G678" s="19">
        <v>45120</v>
      </c>
      <c r="H678">
        <v>-14.14237935977067</v>
      </c>
    </row>
    <row r="679" spans="1:8" x14ac:dyDescent="0.25">
      <c r="A679" t="s">
        <v>105</v>
      </c>
      <c r="B679" t="s">
        <v>383</v>
      </c>
      <c r="C679">
        <v>5</v>
      </c>
      <c r="D679">
        <v>1493.4</v>
      </c>
      <c r="E679" s="19">
        <v>45656</v>
      </c>
      <c r="F679">
        <v>1397.15</v>
      </c>
      <c r="G679" s="19">
        <v>45660</v>
      </c>
      <c r="H679">
        <v>6.4450247756796566</v>
      </c>
    </row>
    <row r="680" spans="1:8" x14ac:dyDescent="0.25">
      <c r="A680" t="s">
        <v>105</v>
      </c>
      <c r="B680" t="s">
        <v>385</v>
      </c>
      <c r="C680">
        <v>11</v>
      </c>
      <c r="D680">
        <v>1635.8</v>
      </c>
      <c r="E680" s="19">
        <v>45637</v>
      </c>
      <c r="F680">
        <v>1496.95</v>
      </c>
      <c r="G680" s="19">
        <v>45652</v>
      </c>
      <c r="H680">
        <v>-8.4882014916248867</v>
      </c>
    </row>
    <row r="681" spans="1:8" x14ac:dyDescent="0.25">
      <c r="A681" t="s">
        <v>105</v>
      </c>
      <c r="B681" t="s">
        <v>383</v>
      </c>
      <c r="C681">
        <v>58</v>
      </c>
      <c r="D681">
        <v>1603.15</v>
      </c>
      <c r="E681" s="19">
        <v>45551</v>
      </c>
      <c r="F681">
        <v>1591.55</v>
      </c>
      <c r="G681" s="19">
        <v>45635</v>
      </c>
      <c r="H681">
        <v>0.72357546081153579</v>
      </c>
    </row>
    <row r="682" spans="1:8" x14ac:dyDescent="0.25">
      <c r="A682" t="s">
        <v>105</v>
      </c>
      <c r="B682" t="s">
        <v>385</v>
      </c>
      <c r="C682">
        <v>105</v>
      </c>
      <c r="D682">
        <v>1197.6500000000001</v>
      </c>
      <c r="E682" s="19">
        <v>45394</v>
      </c>
      <c r="F682">
        <v>1586.5</v>
      </c>
      <c r="G682" s="19">
        <v>45547</v>
      </c>
      <c r="H682">
        <v>32.467749342462312</v>
      </c>
    </row>
    <row r="683" spans="1:8" x14ac:dyDescent="0.25">
      <c r="A683" t="s">
        <v>105</v>
      </c>
      <c r="B683" t="s">
        <v>383</v>
      </c>
      <c r="C683">
        <v>21</v>
      </c>
      <c r="D683">
        <v>1040.8</v>
      </c>
      <c r="E683" s="19">
        <v>45358</v>
      </c>
      <c r="F683">
        <v>1170.8499999999999</v>
      </c>
      <c r="G683" s="19">
        <v>45391</v>
      </c>
      <c r="H683">
        <v>-12.49519600307455</v>
      </c>
    </row>
    <row r="684" spans="1:8" x14ac:dyDescent="0.25">
      <c r="A684" t="s">
        <v>105</v>
      </c>
      <c r="B684" t="s">
        <v>385</v>
      </c>
      <c r="C684">
        <v>78</v>
      </c>
      <c r="D684">
        <v>884.45</v>
      </c>
      <c r="E684" s="19">
        <v>45245</v>
      </c>
      <c r="F684">
        <v>1059.5999999999999</v>
      </c>
      <c r="G684" s="19">
        <v>45356</v>
      </c>
      <c r="H684">
        <v>19.80326756741476</v>
      </c>
    </row>
    <row r="685" spans="1:8" x14ac:dyDescent="0.25">
      <c r="A685" t="s">
        <v>105</v>
      </c>
      <c r="B685" t="s">
        <v>383</v>
      </c>
      <c r="C685">
        <v>7</v>
      </c>
      <c r="D685">
        <v>781.95</v>
      </c>
      <c r="E685" s="19">
        <v>45233</v>
      </c>
      <c r="F685">
        <v>830.55</v>
      </c>
      <c r="G685" s="19">
        <v>45242</v>
      </c>
      <c r="H685">
        <v>-6.215231152887001</v>
      </c>
    </row>
    <row r="686" spans="1:8" x14ac:dyDescent="0.25">
      <c r="A686" t="s">
        <v>105</v>
      </c>
      <c r="B686" t="s">
        <v>385</v>
      </c>
      <c r="C686">
        <v>114</v>
      </c>
      <c r="D686">
        <v>673.05</v>
      </c>
      <c r="E686" s="19">
        <v>45065</v>
      </c>
      <c r="F686">
        <v>780</v>
      </c>
      <c r="G686" s="19">
        <v>45231</v>
      </c>
      <c r="H686">
        <v>15.89034989971028</v>
      </c>
    </row>
    <row r="687" spans="1:8" x14ac:dyDescent="0.25">
      <c r="A687" t="s">
        <v>105</v>
      </c>
      <c r="B687" t="s">
        <v>383</v>
      </c>
      <c r="C687">
        <v>71</v>
      </c>
      <c r="D687">
        <v>679.85</v>
      </c>
      <c r="E687" s="19">
        <v>44957</v>
      </c>
      <c r="F687">
        <v>667.9</v>
      </c>
      <c r="G687" s="19">
        <v>45063</v>
      </c>
      <c r="H687">
        <v>1.7577406780907621</v>
      </c>
    </row>
    <row r="688" spans="1:8" x14ac:dyDescent="0.25">
      <c r="A688" t="s">
        <v>106</v>
      </c>
      <c r="B688" t="s">
        <v>385</v>
      </c>
      <c r="C688">
        <v>183</v>
      </c>
      <c r="D688">
        <v>3739.1</v>
      </c>
      <c r="E688" s="19">
        <v>45392</v>
      </c>
      <c r="F688">
        <v>6048.3</v>
      </c>
      <c r="G688" s="19">
        <v>45660</v>
      </c>
      <c r="H688">
        <v>61.758177101441532</v>
      </c>
    </row>
    <row r="689" spans="1:8" x14ac:dyDescent="0.25">
      <c r="A689" t="s">
        <v>106</v>
      </c>
      <c r="B689" t="s">
        <v>383</v>
      </c>
      <c r="C689">
        <v>48</v>
      </c>
      <c r="D689">
        <v>3551.7</v>
      </c>
      <c r="E689" s="19">
        <v>45321</v>
      </c>
      <c r="F689">
        <v>3796</v>
      </c>
      <c r="G689" s="19">
        <v>45390</v>
      </c>
      <c r="H689">
        <v>-6.8783962609454683</v>
      </c>
    </row>
    <row r="690" spans="1:8" x14ac:dyDescent="0.25">
      <c r="A690" t="s">
        <v>106</v>
      </c>
      <c r="B690" t="s">
        <v>385</v>
      </c>
      <c r="C690">
        <v>42</v>
      </c>
      <c r="D690">
        <v>3760.15</v>
      </c>
      <c r="E690" s="19">
        <v>45258</v>
      </c>
      <c r="F690">
        <v>3578.9</v>
      </c>
      <c r="G690" s="19">
        <v>45316</v>
      </c>
      <c r="H690">
        <v>-4.8202864247436938</v>
      </c>
    </row>
    <row r="691" spans="1:8" x14ac:dyDescent="0.25">
      <c r="A691" t="s">
        <v>106</v>
      </c>
      <c r="B691" t="s">
        <v>383</v>
      </c>
      <c r="C691">
        <v>23</v>
      </c>
      <c r="D691">
        <v>3500.95</v>
      </c>
      <c r="E691" s="19">
        <v>45222</v>
      </c>
      <c r="F691">
        <v>3688.5</v>
      </c>
      <c r="G691" s="19">
        <v>45253</v>
      </c>
      <c r="H691">
        <v>-5.3571173538611001</v>
      </c>
    </row>
    <row r="692" spans="1:8" x14ac:dyDescent="0.25">
      <c r="A692" t="s">
        <v>106</v>
      </c>
      <c r="B692" t="s">
        <v>385</v>
      </c>
      <c r="C692">
        <v>127</v>
      </c>
      <c r="D692">
        <v>3342.6</v>
      </c>
      <c r="E692" s="19">
        <v>45035</v>
      </c>
      <c r="F692">
        <v>3637.75</v>
      </c>
      <c r="G692" s="19">
        <v>45218</v>
      </c>
      <c r="H692">
        <v>8.8299527314066921</v>
      </c>
    </row>
    <row r="693" spans="1:8" x14ac:dyDescent="0.25">
      <c r="A693" t="s">
        <v>108</v>
      </c>
      <c r="B693" t="s">
        <v>383</v>
      </c>
      <c r="C693">
        <v>45</v>
      </c>
      <c r="D693">
        <v>3044.45</v>
      </c>
      <c r="E693" s="19">
        <v>45595</v>
      </c>
      <c r="F693">
        <v>2944.65</v>
      </c>
      <c r="G693" s="19">
        <v>45660</v>
      </c>
      <c r="H693">
        <v>3.278096207853626</v>
      </c>
    </row>
    <row r="694" spans="1:8" x14ac:dyDescent="0.25">
      <c r="A694" t="s">
        <v>108</v>
      </c>
      <c r="B694" t="s">
        <v>385</v>
      </c>
      <c r="C694">
        <v>123</v>
      </c>
      <c r="D694">
        <v>2318.4</v>
      </c>
      <c r="E694" s="19">
        <v>45415</v>
      </c>
      <c r="F694">
        <v>3097.65</v>
      </c>
      <c r="G694" s="19">
        <v>45593</v>
      </c>
      <c r="H694">
        <v>33.611542443064181</v>
      </c>
    </row>
    <row r="695" spans="1:8" x14ac:dyDescent="0.25">
      <c r="A695" t="s">
        <v>108</v>
      </c>
      <c r="B695" t="s">
        <v>383</v>
      </c>
      <c r="C695">
        <v>73</v>
      </c>
      <c r="D695">
        <v>2453.4499999999998</v>
      </c>
      <c r="E695" s="19">
        <v>45303</v>
      </c>
      <c r="F695">
        <v>2372.4499999999998</v>
      </c>
      <c r="G695" s="19">
        <v>45412</v>
      </c>
      <c r="H695">
        <v>3.3014734353665252</v>
      </c>
    </row>
    <row r="696" spans="1:8" x14ac:dyDescent="0.25">
      <c r="A696" t="s">
        <v>108</v>
      </c>
      <c r="B696" t="s">
        <v>385</v>
      </c>
      <c r="C696">
        <v>77</v>
      </c>
      <c r="D696">
        <v>2415.4</v>
      </c>
      <c r="E696" s="19">
        <v>45189</v>
      </c>
      <c r="F696">
        <v>2502</v>
      </c>
      <c r="G696" s="19">
        <v>45301</v>
      </c>
      <c r="H696">
        <v>3.5853274819905558</v>
      </c>
    </row>
    <row r="697" spans="1:8" x14ac:dyDescent="0.25">
      <c r="A697" t="s">
        <v>108</v>
      </c>
      <c r="B697" t="s">
        <v>383</v>
      </c>
      <c r="C697">
        <v>11</v>
      </c>
      <c r="D697">
        <v>2201.25</v>
      </c>
      <c r="E697" s="19">
        <v>45170</v>
      </c>
      <c r="F697">
        <v>2335.8000000000002</v>
      </c>
      <c r="G697" s="19">
        <v>45184</v>
      </c>
      <c r="H697">
        <v>-6.1124361158432787</v>
      </c>
    </row>
    <row r="698" spans="1:8" x14ac:dyDescent="0.25">
      <c r="A698" t="s">
        <v>108</v>
      </c>
      <c r="B698" t="s">
        <v>385</v>
      </c>
      <c r="C698">
        <v>76</v>
      </c>
      <c r="D698">
        <v>2008.9</v>
      </c>
      <c r="E698" s="19">
        <v>45061</v>
      </c>
      <c r="F698">
        <v>2212</v>
      </c>
      <c r="G698" s="19">
        <v>45168</v>
      </c>
      <c r="H698">
        <v>10.110010453481999</v>
      </c>
    </row>
    <row r="699" spans="1:8" x14ac:dyDescent="0.25">
      <c r="A699" t="s">
        <v>109</v>
      </c>
      <c r="B699" t="s">
        <v>385</v>
      </c>
      <c r="C699">
        <v>7</v>
      </c>
      <c r="D699">
        <v>1355.15</v>
      </c>
      <c r="E699" s="19">
        <v>45652</v>
      </c>
      <c r="F699">
        <v>1352.65</v>
      </c>
      <c r="G699" s="19">
        <v>45660</v>
      </c>
      <c r="H699">
        <v>-0.18448142272073201</v>
      </c>
    </row>
    <row r="700" spans="1:8" x14ac:dyDescent="0.25">
      <c r="A700" t="s">
        <v>109</v>
      </c>
      <c r="B700" t="s">
        <v>383</v>
      </c>
      <c r="C700">
        <v>63</v>
      </c>
      <c r="D700">
        <v>1330.89</v>
      </c>
      <c r="E700" s="19">
        <v>45558</v>
      </c>
      <c r="F700">
        <v>1341.35</v>
      </c>
      <c r="G700" s="19">
        <v>45649</v>
      </c>
      <c r="H700">
        <v>-0.7859402354815056</v>
      </c>
    </row>
    <row r="701" spans="1:8" x14ac:dyDescent="0.25">
      <c r="A701" t="s">
        <v>109</v>
      </c>
      <c r="B701" t="s">
        <v>385</v>
      </c>
      <c r="C701">
        <v>58</v>
      </c>
      <c r="D701">
        <v>1280.47</v>
      </c>
      <c r="E701" s="19">
        <v>45471</v>
      </c>
      <c r="F701">
        <v>1300.51</v>
      </c>
      <c r="G701" s="19">
        <v>45554</v>
      </c>
      <c r="H701">
        <v>1.565050333080819</v>
      </c>
    </row>
    <row r="702" spans="1:8" x14ac:dyDescent="0.25">
      <c r="A702" t="s">
        <v>109</v>
      </c>
      <c r="B702" t="s">
        <v>383</v>
      </c>
      <c r="C702">
        <v>32</v>
      </c>
      <c r="D702">
        <v>1181.71</v>
      </c>
      <c r="E702" s="19">
        <v>45425</v>
      </c>
      <c r="F702">
        <v>1214.01</v>
      </c>
      <c r="G702" s="19">
        <v>45469</v>
      </c>
      <c r="H702">
        <v>-2.733327127637065</v>
      </c>
    </row>
    <row r="703" spans="1:8" x14ac:dyDescent="0.25">
      <c r="A703" t="s">
        <v>109</v>
      </c>
      <c r="B703" t="s">
        <v>385</v>
      </c>
      <c r="C703">
        <v>4</v>
      </c>
      <c r="D703">
        <v>1258.69</v>
      </c>
      <c r="E703" s="19">
        <v>45418</v>
      </c>
      <c r="F703">
        <v>1175.47</v>
      </c>
      <c r="G703" s="19">
        <v>45421</v>
      </c>
      <c r="H703">
        <v>-6.6116359071733326</v>
      </c>
    </row>
    <row r="704" spans="1:8" x14ac:dyDescent="0.25">
      <c r="A704" t="s">
        <v>109</v>
      </c>
      <c r="B704" t="s">
        <v>383</v>
      </c>
      <c r="C704">
        <v>9</v>
      </c>
      <c r="D704">
        <v>1188.57</v>
      </c>
      <c r="E704" s="19">
        <v>45401</v>
      </c>
      <c r="F704">
        <v>1257.5</v>
      </c>
      <c r="G704" s="19">
        <v>45414</v>
      </c>
      <c r="H704">
        <v>-5.7994060089014594</v>
      </c>
    </row>
    <row r="705" spans="1:8" x14ac:dyDescent="0.25">
      <c r="A705" t="s">
        <v>109</v>
      </c>
      <c r="B705" t="s">
        <v>385</v>
      </c>
      <c r="C705">
        <v>98</v>
      </c>
      <c r="D705">
        <v>1128.93</v>
      </c>
      <c r="E705" s="19">
        <v>45253</v>
      </c>
      <c r="F705">
        <v>1210.07</v>
      </c>
      <c r="G705" s="19">
        <v>45398</v>
      </c>
      <c r="H705">
        <v>7.187336681636582</v>
      </c>
    </row>
    <row r="706" spans="1:8" x14ac:dyDescent="0.25">
      <c r="A706" t="s">
        <v>109</v>
      </c>
      <c r="B706" t="s">
        <v>383</v>
      </c>
      <c r="C706">
        <v>31</v>
      </c>
      <c r="D706">
        <v>1098.97</v>
      </c>
      <c r="E706" s="19">
        <v>45208</v>
      </c>
      <c r="F706">
        <v>1129.29</v>
      </c>
      <c r="G706" s="19">
        <v>45251</v>
      </c>
      <c r="H706">
        <v>-2.758947014022215</v>
      </c>
    </row>
    <row r="707" spans="1:8" x14ac:dyDescent="0.25">
      <c r="A707" t="s">
        <v>109</v>
      </c>
      <c r="B707" t="s">
        <v>385</v>
      </c>
      <c r="C707">
        <v>76</v>
      </c>
      <c r="D707">
        <v>980</v>
      </c>
      <c r="E707" s="19">
        <v>45093</v>
      </c>
      <c r="F707">
        <v>1081.45</v>
      </c>
      <c r="G707" s="19">
        <v>45204</v>
      </c>
      <c r="H707">
        <v>10.352040816326539</v>
      </c>
    </row>
    <row r="708" spans="1:8" x14ac:dyDescent="0.25">
      <c r="A708" t="s">
        <v>109</v>
      </c>
      <c r="B708" t="s">
        <v>383</v>
      </c>
      <c r="C708">
        <v>17</v>
      </c>
      <c r="D708">
        <v>892.11</v>
      </c>
      <c r="E708" s="19">
        <v>45069</v>
      </c>
      <c r="F708">
        <v>939.8</v>
      </c>
      <c r="G708" s="19">
        <v>45091</v>
      </c>
      <c r="H708">
        <v>-5.3457533263835106</v>
      </c>
    </row>
    <row r="709" spans="1:8" x14ac:dyDescent="0.25">
      <c r="A709" t="s">
        <v>109</v>
      </c>
      <c r="B709" t="s">
        <v>385</v>
      </c>
      <c r="C709">
        <v>66</v>
      </c>
      <c r="D709">
        <v>897.5</v>
      </c>
      <c r="E709" s="19">
        <v>44966</v>
      </c>
      <c r="F709">
        <v>878.39</v>
      </c>
      <c r="G709" s="19">
        <v>45065</v>
      </c>
      <c r="H709">
        <v>-2.1292479108635121</v>
      </c>
    </row>
    <row r="710" spans="1:8" x14ac:dyDescent="0.25">
      <c r="A710" t="s">
        <v>110</v>
      </c>
      <c r="B710" t="s">
        <v>383</v>
      </c>
      <c r="C710">
        <v>63</v>
      </c>
      <c r="D710">
        <v>461.75</v>
      </c>
      <c r="E710" s="19">
        <v>45569</v>
      </c>
      <c r="F710">
        <v>401.25</v>
      </c>
      <c r="G710" s="19">
        <v>45660</v>
      </c>
      <c r="H710">
        <v>13.10232809962101</v>
      </c>
    </row>
    <row r="711" spans="1:8" x14ac:dyDescent="0.25">
      <c r="A711" t="s">
        <v>110</v>
      </c>
      <c r="B711" t="s">
        <v>385</v>
      </c>
      <c r="C711">
        <v>16</v>
      </c>
      <c r="D711">
        <v>494.55</v>
      </c>
      <c r="E711" s="19">
        <v>45545</v>
      </c>
      <c r="F711">
        <v>464.85</v>
      </c>
      <c r="G711" s="19">
        <v>45566</v>
      </c>
      <c r="H711">
        <v>-6.0054595086442193</v>
      </c>
    </row>
    <row r="712" spans="1:8" x14ac:dyDescent="0.25">
      <c r="A712" t="s">
        <v>110</v>
      </c>
      <c r="B712" t="s">
        <v>383</v>
      </c>
      <c r="C712">
        <v>70</v>
      </c>
      <c r="D712">
        <v>481.35</v>
      </c>
      <c r="E712" s="19">
        <v>45441</v>
      </c>
      <c r="F712">
        <v>496.8</v>
      </c>
      <c r="G712" s="19">
        <v>45541</v>
      </c>
      <c r="H712">
        <v>-3.209722655032718</v>
      </c>
    </row>
    <row r="713" spans="1:8" x14ac:dyDescent="0.25">
      <c r="A713" t="s">
        <v>110</v>
      </c>
      <c r="B713" t="s">
        <v>385</v>
      </c>
      <c r="C713">
        <v>26</v>
      </c>
      <c r="D713">
        <v>513.1</v>
      </c>
      <c r="E713" s="19">
        <v>45401</v>
      </c>
      <c r="F713">
        <v>506.65</v>
      </c>
      <c r="G713" s="19">
        <v>45439</v>
      </c>
      <c r="H713">
        <v>-1.2570648996297109</v>
      </c>
    </row>
    <row r="714" spans="1:8" x14ac:dyDescent="0.25">
      <c r="A714" t="s">
        <v>110</v>
      </c>
      <c r="B714" t="s">
        <v>383</v>
      </c>
      <c r="C714">
        <v>44</v>
      </c>
      <c r="D714">
        <v>490.2</v>
      </c>
      <c r="E714" s="19">
        <v>45334</v>
      </c>
      <c r="F714">
        <v>517.75</v>
      </c>
      <c r="G714" s="19">
        <v>45398</v>
      </c>
      <c r="H714">
        <v>-5.6201550387596919</v>
      </c>
    </row>
    <row r="715" spans="1:8" x14ac:dyDescent="0.25">
      <c r="A715" t="s">
        <v>110</v>
      </c>
      <c r="B715" t="s">
        <v>385</v>
      </c>
      <c r="C715">
        <v>55</v>
      </c>
      <c r="D715">
        <v>557.9</v>
      </c>
      <c r="E715" s="19">
        <v>45251</v>
      </c>
      <c r="F715">
        <v>527.29999999999995</v>
      </c>
      <c r="G715" s="19">
        <v>45330</v>
      </c>
      <c r="H715">
        <v>-5.4848539164724901</v>
      </c>
    </row>
    <row r="716" spans="1:8" x14ac:dyDescent="0.25">
      <c r="A716" t="s">
        <v>110</v>
      </c>
      <c r="B716" t="s">
        <v>383</v>
      </c>
      <c r="C716">
        <v>62</v>
      </c>
      <c r="D716">
        <v>500</v>
      </c>
      <c r="E716" s="19">
        <v>45159</v>
      </c>
      <c r="F716">
        <v>561.79999999999995</v>
      </c>
      <c r="G716" s="19">
        <v>45247</v>
      </c>
      <c r="H716">
        <v>-12.359999999999991</v>
      </c>
    </row>
    <row r="717" spans="1:8" x14ac:dyDescent="0.25">
      <c r="A717" t="s">
        <v>110</v>
      </c>
      <c r="B717" t="s">
        <v>385</v>
      </c>
      <c r="C717">
        <v>127</v>
      </c>
      <c r="D717">
        <v>397.15</v>
      </c>
      <c r="E717" s="19">
        <v>44967</v>
      </c>
      <c r="F717">
        <v>511</v>
      </c>
      <c r="G717" s="19">
        <v>45155</v>
      </c>
      <c r="H717">
        <v>28.666750598010839</v>
      </c>
    </row>
    <row r="718" spans="1:8" x14ac:dyDescent="0.25">
      <c r="A718" t="s">
        <v>111</v>
      </c>
      <c r="B718" t="s">
        <v>385</v>
      </c>
      <c r="C718">
        <v>131</v>
      </c>
      <c r="D718">
        <v>2395.8000000000002</v>
      </c>
      <c r="E718" s="19">
        <v>45470</v>
      </c>
      <c r="F718">
        <v>3507.65</v>
      </c>
      <c r="G718" s="19">
        <v>45660</v>
      </c>
      <c r="H718">
        <v>46.408297854578841</v>
      </c>
    </row>
    <row r="719" spans="1:8" x14ac:dyDescent="0.25">
      <c r="A719" t="s">
        <v>111</v>
      </c>
      <c r="B719" t="s">
        <v>383</v>
      </c>
      <c r="C719">
        <v>86</v>
      </c>
      <c r="D719">
        <v>2312.3000000000002</v>
      </c>
      <c r="E719" s="19">
        <v>45341</v>
      </c>
      <c r="F719">
        <v>2365.9</v>
      </c>
      <c r="G719" s="19">
        <v>45468</v>
      </c>
      <c r="H719">
        <v>-2.3180383168273968</v>
      </c>
    </row>
    <row r="720" spans="1:8" x14ac:dyDescent="0.25">
      <c r="A720" t="s">
        <v>111</v>
      </c>
      <c r="B720" t="s">
        <v>385</v>
      </c>
      <c r="C720">
        <v>107</v>
      </c>
      <c r="D720">
        <v>1752.3</v>
      </c>
      <c r="E720" s="19">
        <v>45181</v>
      </c>
      <c r="F720">
        <v>2318.0500000000002</v>
      </c>
      <c r="G720" s="19">
        <v>45337</v>
      </c>
      <c r="H720">
        <v>32.28613821834162</v>
      </c>
    </row>
    <row r="721" spans="1:8" x14ac:dyDescent="0.25">
      <c r="A721" t="s">
        <v>111</v>
      </c>
      <c r="B721" t="s">
        <v>383</v>
      </c>
      <c r="C721">
        <v>10</v>
      </c>
      <c r="D721">
        <v>1625</v>
      </c>
      <c r="E721" s="19">
        <v>45166</v>
      </c>
      <c r="F721">
        <v>1710</v>
      </c>
      <c r="G721" s="19">
        <v>45177</v>
      </c>
      <c r="H721">
        <v>-5.2307692307692308</v>
      </c>
    </row>
    <row r="722" spans="1:8" x14ac:dyDescent="0.25">
      <c r="A722" t="s">
        <v>111</v>
      </c>
      <c r="B722" t="s">
        <v>385</v>
      </c>
      <c r="C722">
        <v>65</v>
      </c>
      <c r="D722">
        <v>1480.85</v>
      </c>
      <c r="E722" s="19">
        <v>45070</v>
      </c>
      <c r="F722">
        <v>1604</v>
      </c>
      <c r="G722" s="19">
        <v>45162</v>
      </c>
      <c r="H722">
        <v>8.3161697673633448</v>
      </c>
    </row>
    <row r="723" spans="1:8" x14ac:dyDescent="0.25">
      <c r="A723" t="s">
        <v>111</v>
      </c>
      <c r="B723" t="s">
        <v>383</v>
      </c>
      <c r="C723">
        <v>40</v>
      </c>
      <c r="D723">
        <v>1396.55</v>
      </c>
      <c r="E723" s="19">
        <v>45006</v>
      </c>
      <c r="F723">
        <v>1428.5</v>
      </c>
      <c r="G723" s="19">
        <v>45068</v>
      </c>
      <c r="H723">
        <v>-2.2877806021982781</v>
      </c>
    </row>
    <row r="724" spans="1:8" x14ac:dyDescent="0.25">
      <c r="A724" t="s">
        <v>112</v>
      </c>
      <c r="B724" t="s">
        <v>385</v>
      </c>
      <c r="C724">
        <v>1</v>
      </c>
      <c r="D724">
        <v>5310.75</v>
      </c>
      <c r="E724" s="19">
        <v>45660</v>
      </c>
      <c r="F724">
        <v>5310.75</v>
      </c>
      <c r="G724" s="19">
        <v>45660</v>
      </c>
      <c r="H724">
        <v>0</v>
      </c>
    </row>
    <row r="725" spans="1:8" x14ac:dyDescent="0.25">
      <c r="A725" t="s">
        <v>112</v>
      </c>
      <c r="B725" t="s">
        <v>383</v>
      </c>
      <c r="C725">
        <v>10</v>
      </c>
      <c r="D725">
        <v>4749.8500000000004</v>
      </c>
      <c r="E725" s="19">
        <v>45644</v>
      </c>
      <c r="F725">
        <v>4885.3</v>
      </c>
      <c r="G725" s="19">
        <v>45658</v>
      </c>
      <c r="H725">
        <v>-2.8516690000736831</v>
      </c>
    </row>
    <row r="726" spans="1:8" x14ac:dyDescent="0.25">
      <c r="A726" t="s">
        <v>112</v>
      </c>
      <c r="B726" t="s">
        <v>385</v>
      </c>
      <c r="C726">
        <v>18</v>
      </c>
      <c r="D726">
        <v>4882.1000000000004</v>
      </c>
      <c r="E726" s="19">
        <v>45617</v>
      </c>
      <c r="F726">
        <v>4838.5</v>
      </c>
      <c r="G726" s="19">
        <v>45642</v>
      </c>
      <c r="H726">
        <v>-0.89305831506934241</v>
      </c>
    </row>
    <row r="727" spans="1:8" x14ac:dyDescent="0.25">
      <c r="A727" t="s">
        <v>112</v>
      </c>
      <c r="B727" t="s">
        <v>383</v>
      </c>
      <c r="C727">
        <v>2</v>
      </c>
      <c r="D727">
        <v>4883.7</v>
      </c>
      <c r="E727" s="19">
        <v>45610</v>
      </c>
      <c r="F727">
        <v>4875.6499999999996</v>
      </c>
      <c r="G727" s="19">
        <v>45614</v>
      </c>
      <c r="H727">
        <v>0.16483403976493599</v>
      </c>
    </row>
    <row r="728" spans="1:8" x14ac:dyDescent="0.25">
      <c r="A728" t="s">
        <v>112</v>
      </c>
      <c r="B728" t="s">
        <v>385</v>
      </c>
      <c r="C728">
        <v>5</v>
      </c>
      <c r="D728">
        <v>4917.1499999999996</v>
      </c>
      <c r="E728" s="19">
        <v>45602</v>
      </c>
      <c r="F728">
        <v>4738.2</v>
      </c>
      <c r="G728" s="19">
        <v>45608</v>
      </c>
      <c r="H728">
        <v>-3.6393032549342572</v>
      </c>
    </row>
    <row r="729" spans="1:8" x14ac:dyDescent="0.25">
      <c r="A729" t="s">
        <v>112</v>
      </c>
      <c r="B729" t="s">
        <v>383</v>
      </c>
      <c r="C729">
        <v>18</v>
      </c>
      <c r="D729">
        <v>4697.8999999999996</v>
      </c>
      <c r="E729" s="19">
        <v>45575</v>
      </c>
      <c r="F729">
        <v>4831.8500000000004</v>
      </c>
      <c r="G729" s="19">
        <v>45600</v>
      </c>
      <c r="H729">
        <v>-2.851273973477527</v>
      </c>
    </row>
    <row r="730" spans="1:8" x14ac:dyDescent="0.25">
      <c r="A730" t="s">
        <v>112</v>
      </c>
      <c r="B730" t="s">
        <v>385</v>
      </c>
      <c r="C730">
        <v>132</v>
      </c>
      <c r="D730">
        <v>3913.8</v>
      </c>
      <c r="E730" s="19">
        <v>45378</v>
      </c>
      <c r="F730">
        <v>4693.45</v>
      </c>
      <c r="G730" s="19">
        <v>45573</v>
      </c>
      <c r="H730">
        <v>19.920537584955781</v>
      </c>
    </row>
    <row r="731" spans="1:8" x14ac:dyDescent="0.25">
      <c r="A731" t="s">
        <v>112</v>
      </c>
      <c r="B731" t="s">
        <v>383</v>
      </c>
      <c r="C731">
        <v>10</v>
      </c>
      <c r="D731">
        <v>3783.9</v>
      </c>
      <c r="E731" s="19">
        <v>45362</v>
      </c>
      <c r="F731">
        <v>3988.4</v>
      </c>
      <c r="G731" s="19">
        <v>45373</v>
      </c>
      <c r="H731">
        <v>-5.4044768624963657</v>
      </c>
    </row>
    <row r="732" spans="1:8" x14ac:dyDescent="0.25">
      <c r="A732" t="s">
        <v>112</v>
      </c>
      <c r="B732" t="s">
        <v>385</v>
      </c>
      <c r="C732">
        <v>16</v>
      </c>
      <c r="D732">
        <v>3916.55</v>
      </c>
      <c r="E732" s="19">
        <v>45337</v>
      </c>
      <c r="F732">
        <v>3793.2</v>
      </c>
      <c r="G732" s="19">
        <v>45357</v>
      </c>
      <c r="H732">
        <v>-3.149455515696221</v>
      </c>
    </row>
    <row r="733" spans="1:8" x14ac:dyDescent="0.25">
      <c r="A733" t="s">
        <v>112</v>
      </c>
      <c r="B733" t="s">
        <v>383</v>
      </c>
      <c r="C733">
        <v>15</v>
      </c>
      <c r="D733">
        <v>3616.7</v>
      </c>
      <c r="E733" s="19">
        <v>45314</v>
      </c>
      <c r="F733">
        <v>3854.2</v>
      </c>
      <c r="G733" s="19">
        <v>45335</v>
      </c>
      <c r="H733">
        <v>-6.5667597533663287</v>
      </c>
    </row>
    <row r="734" spans="1:8" x14ac:dyDescent="0.25">
      <c r="A734" t="s">
        <v>112</v>
      </c>
      <c r="B734" t="s">
        <v>385</v>
      </c>
      <c r="C734">
        <v>50</v>
      </c>
      <c r="D734">
        <v>3541.9</v>
      </c>
      <c r="E734" s="19">
        <v>45239</v>
      </c>
      <c r="F734">
        <v>3699.45</v>
      </c>
      <c r="G734" s="19">
        <v>45310</v>
      </c>
      <c r="H734">
        <v>4.4481775318331893</v>
      </c>
    </row>
    <row r="735" spans="1:8" x14ac:dyDescent="0.25">
      <c r="A735" t="s">
        <v>112</v>
      </c>
      <c r="B735" t="s">
        <v>383</v>
      </c>
      <c r="C735">
        <v>4</v>
      </c>
      <c r="D735">
        <v>3338.3</v>
      </c>
      <c r="E735" s="19">
        <v>45232</v>
      </c>
      <c r="F735">
        <v>3509.05</v>
      </c>
      <c r="G735" s="19">
        <v>45237</v>
      </c>
      <c r="H735">
        <v>-5.1148788305424917</v>
      </c>
    </row>
    <row r="736" spans="1:8" x14ac:dyDescent="0.25">
      <c r="A736" t="s">
        <v>112</v>
      </c>
      <c r="B736" t="s">
        <v>385</v>
      </c>
      <c r="C736">
        <v>28</v>
      </c>
      <c r="D736">
        <v>3441.2</v>
      </c>
      <c r="E736" s="19">
        <v>45189</v>
      </c>
      <c r="F736">
        <v>3295.55</v>
      </c>
      <c r="G736" s="19">
        <v>45230</v>
      </c>
      <c r="H736">
        <v>-4.2325351621527272</v>
      </c>
    </row>
    <row r="737" spans="1:8" x14ac:dyDescent="0.25">
      <c r="A737" t="s">
        <v>112</v>
      </c>
      <c r="B737" t="s">
        <v>383</v>
      </c>
      <c r="C737">
        <v>49</v>
      </c>
      <c r="D737">
        <v>3175.5</v>
      </c>
      <c r="E737" s="19">
        <v>45117</v>
      </c>
      <c r="F737">
        <v>3427.2</v>
      </c>
      <c r="G737" s="19">
        <v>45184</v>
      </c>
      <c r="H737">
        <v>-7.9263108171941363</v>
      </c>
    </row>
    <row r="738" spans="1:8" x14ac:dyDescent="0.25">
      <c r="A738" t="s">
        <v>112</v>
      </c>
      <c r="B738" t="s">
        <v>385</v>
      </c>
      <c r="C738">
        <v>51</v>
      </c>
      <c r="D738">
        <v>3217.95</v>
      </c>
      <c r="E738" s="19">
        <v>45041</v>
      </c>
      <c r="F738">
        <v>3225.95</v>
      </c>
      <c r="G738" s="19">
        <v>45113</v>
      </c>
      <c r="H738">
        <v>0.24860547864323559</v>
      </c>
    </row>
    <row r="739" spans="1:8" x14ac:dyDescent="0.25">
      <c r="A739" t="s">
        <v>113</v>
      </c>
      <c r="B739" t="s">
        <v>385</v>
      </c>
      <c r="C739">
        <v>29</v>
      </c>
      <c r="D739">
        <v>864.9</v>
      </c>
      <c r="E739" s="19">
        <v>45621</v>
      </c>
      <c r="F739">
        <v>907.65</v>
      </c>
      <c r="G739" s="19">
        <v>45660</v>
      </c>
      <c r="H739">
        <v>4.9427679500520298</v>
      </c>
    </row>
    <row r="740" spans="1:8" x14ac:dyDescent="0.25">
      <c r="A740" t="s">
        <v>113</v>
      </c>
      <c r="B740" t="s">
        <v>383</v>
      </c>
      <c r="C740">
        <v>3</v>
      </c>
      <c r="D740">
        <v>766.7</v>
      </c>
      <c r="E740" s="19">
        <v>45614</v>
      </c>
      <c r="F740">
        <v>825.65</v>
      </c>
      <c r="G740" s="19">
        <v>45617</v>
      </c>
      <c r="H740">
        <v>-7.6887961392982813</v>
      </c>
    </row>
    <row r="741" spans="1:8" x14ac:dyDescent="0.25">
      <c r="A741" t="s">
        <v>113</v>
      </c>
      <c r="B741" t="s">
        <v>385</v>
      </c>
      <c r="C741">
        <v>3</v>
      </c>
      <c r="D741">
        <v>813.85</v>
      </c>
      <c r="E741" s="19">
        <v>45607</v>
      </c>
      <c r="F741">
        <v>772.7</v>
      </c>
      <c r="G741" s="19">
        <v>45609</v>
      </c>
      <c r="H741">
        <v>-5.0562142901025959</v>
      </c>
    </row>
    <row r="742" spans="1:8" x14ac:dyDescent="0.25">
      <c r="A742" t="s">
        <v>113</v>
      </c>
      <c r="B742" t="s">
        <v>383</v>
      </c>
      <c r="C742">
        <v>11</v>
      </c>
      <c r="D742">
        <v>772.85</v>
      </c>
      <c r="E742" s="19">
        <v>45589</v>
      </c>
      <c r="F742">
        <v>850.4</v>
      </c>
      <c r="G742" s="19">
        <v>45603</v>
      </c>
      <c r="H742">
        <v>-10.03428867179918</v>
      </c>
    </row>
    <row r="743" spans="1:8" x14ac:dyDescent="0.25">
      <c r="A743" t="s">
        <v>113</v>
      </c>
      <c r="B743" t="s">
        <v>385</v>
      </c>
      <c r="C743">
        <v>131</v>
      </c>
      <c r="D743">
        <v>607.20000000000005</v>
      </c>
      <c r="E743" s="19">
        <v>45397</v>
      </c>
      <c r="F743">
        <v>763.6</v>
      </c>
      <c r="G743" s="19">
        <v>45587</v>
      </c>
      <c r="H743">
        <v>25.757575757575751</v>
      </c>
    </row>
    <row r="744" spans="1:8" x14ac:dyDescent="0.25">
      <c r="A744" t="s">
        <v>113</v>
      </c>
      <c r="B744" t="s">
        <v>383</v>
      </c>
      <c r="C744">
        <v>14</v>
      </c>
      <c r="D744">
        <v>542.15</v>
      </c>
      <c r="E744" s="19">
        <v>45371</v>
      </c>
      <c r="F744">
        <v>627.70000000000005</v>
      </c>
      <c r="G744" s="19">
        <v>45392</v>
      </c>
      <c r="H744">
        <v>-15.77976574748687</v>
      </c>
    </row>
    <row r="745" spans="1:8" x14ac:dyDescent="0.25">
      <c r="A745" t="s">
        <v>113</v>
      </c>
      <c r="B745" t="s">
        <v>385</v>
      </c>
      <c r="C745">
        <v>79</v>
      </c>
      <c r="D745">
        <v>537.15</v>
      </c>
      <c r="E745" s="19">
        <v>45254</v>
      </c>
      <c r="F745">
        <v>564.79999999999995</v>
      </c>
      <c r="G745" s="19">
        <v>45369</v>
      </c>
      <c r="H745">
        <v>5.1475379316764363</v>
      </c>
    </row>
    <row r="746" spans="1:8" x14ac:dyDescent="0.25">
      <c r="A746" t="s">
        <v>113</v>
      </c>
      <c r="B746" t="s">
        <v>383</v>
      </c>
      <c r="C746">
        <v>20</v>
      </c>
      <c r="D746">
        <v>466.1</v>
      </c>
      <c r="E746" s="19">
        <v>45225</v>
      </c>
      <c r="F746">
        <v>491</v>
      </c>
      <c r="G746" s="19">
        <v>45252</v>
      </c>
      <c r="H746">
        <v>-5.3422012443681561</v>
      </c>
    </row>
    <row r="747" spans="1:8" x14ac:dyDescent="0.25">
      <c r="A747" t="s">
        <v>113</v>
      </c>
      <c r="B747" t="s">
        <v>385</v>
      </c>
      <c r="C747">
        <v>31</v>
      </c>
      <c r="D747">
        <v>516.29999999999995</v>
      </c>
      <c r="E747" s="19">
        <v>45176</v>
      </c>
      <c r="F747">
        <v>467.05</v>
      </c>
      <c r="G747" s="19">
        <v>45222</v>
      </c>
      <c r="H747">
        <v>-9.5390276970753334</v>
      </c>
    </row>
    <row r="748" spans="1:8" x14ac:dyDescent="0.25">
      <c r="A748" t="s">
        <v>113</v>
      </c>
      <c r="B748" t="s">
        <v>383</v>
      </c>
      <c r="C748">
        <v>15</v>
      </c>
      <c r="D748">
        <v>465</v>
      </c>
      <c r="E748" s="19">
        <v>45154</v>
      </c>
      <c r="F748">
        <v>483.55</v>
      </c>
      <c r="G748" s="19">
        <v>45174</v>
      </c>
      <c r="H748">
        <v>-3.9892473118279592</v>
      </c>
    </row>
    <row r="749" spans="1:8" x14ac:dyDescent="0.25">
      <c r="A749" t="s">
        <v>113</v>
      </c>
      <c r="B749" t="s">
        <v>385</v>
      </c>
      <c r="C749">
        <v>8</v>
      </c>
      <c r="D749">
        <v>486.65</v>
      </c>
      <c r="E749" s="19">
        <v>45140</v>
      </c>
      <c r="F749">
        <v>462.05</v>
      </c>
      <c r="G749" s="19">
        <v>45149</v>
      </c>
      <c r="H749">
        <v>-5.0549676358779339</v>
      </c>
    </row>
    <row r="750" spans="1:8" x14ac:dyDescent="0.25">
      <c r="A750" t="s">
        <v>113</v>
      </c>
      <c r="B750" t="s">
        <v>383</v>
      </c>
      <c r="C750">
        <v>157</v>
      </c>
      <c r="D750">
        <v>579.1</v>
      </c>
      <c r="E750" s="19">
        <v>44908</v>
      </c>
      <c r="F750">
        <v>494.5</v>
      </c>
      <c r="G750" s="19">
        <v>45138</v>
      </c>
      <c r="H750">
        <v>14.608875841823521</v>
      </c>
    </row>
    <row r="751" spans="1:8" x14ac:dyDescent="0.25">
      <c r="A751" t="s">
        <v>114</v>
      </c>
      <c r="B751" t="s">
        <v>385</v>
      </c>
      <c r="C751">
        <v>19</v>
      </c>
      <c r="D751">
        <v>410.35</v>
      </c>
      <c r="E751" s="19">
        <v>45635</v>
      </c>
      <c r="F751">
        <v>428.35</v>
      </c>
      <c r="G751" s="19">
        <v>45660</v>
      </c>
      <c r="H751">
        <v>4.3864993298403796</v>
      </c>
    </row>
    <row r="752" spans="1:8" x14ac:dyDescent="0.25">
      <c r="A752" t="s">
        <v>114</v>
      </c>
      <c r="B752" t="s">
        <v>383</v>
      </c>
      <c r="C752">
        <v>27</v>
      </c>
      <c r="D752">
        <v>352.4</v>
      </c>
      <c r="E752" s="19">
        <v>45593</v>
      </c>
      <c r="F752">
        <v>402.25</v>
      </c>
      <c r="G752" s="19">
        <v>45631</v>
      </c>
      <c r="H752">
        <v>-14.14585698070375</v>
      </c>
    </row>
    <row r="753" spans="1:8" x14ac:dyDescent="0.25">
      <c r="A753" t="s">
        <v>114</v>
      </c>
      <c r="B753" t="s">
        <v>385</v>
      </c>
      <c r="C753">
        <v>9</v>
      </c>
      <c r="D753">
        <v>428.25</v>
      </c>
      <c r="E753" s="19">
        <v>45579</v>
      </c>
      <c r="F753">
        <v>368.45</v>
      </c>
      <c r="G753" s="19">
        <v>45589</v>
      </c>
      <c r="H753">
        <v>-13.96380618797432</v>
      </c>
    </row>
    <row r="754" spans="1:8" x14ac:dyDescent="0.25">
      <c r="A754" t="s">
        <v>114</v>
      </c>
      <c r="B754" t="s">
        <v>383</v>
      </c>
      <c r="C754">
        <v>87</v>
      </c>
      <c r="D754">
        <v>418.5</v>
      </c>
      <c r="E754" s="19">
        <v>45449</v>
      </c>
      <c r="F754">
        <v>431.4</v>
      </c>
      <c r="G754" s="19">
        <v>45575</v>
      </c>
      <c r="H754">
        <v>-3.082437275985658</v>
      </c>
    </row>
    <row r="755" spans="1:8" x14ac:dyDescent="0.25">
      <c r="A755" t="s">
        <v>114</v>
      </c>
      <c r="B755" t="s">
        <v>385</v>
      </c>
      <c r="C755">
        <v>140</v>
      </c>
      <c r="D755">
        <v>230.85</v>
      </c>
      <c r="E755" s="19">
        <v>45240</v>
      </c>
      <c r="F755">
        <v>408.45</v>
      </c>
      <c r="G755" s="19">
        <v>45447</v>
      </c>
      <c r="H755">
        <v>76.933073424301483</v>
      </c>
    </row>
    <row r="756" spans="1:8" x14ac:dyDescent="0.25">
      <c r="A756" t="s">
        <v>114</v>
      </c>
      <c r="B756" t="s">
        <v>383</v>
      </c>
      <c r="C756">
        <v>11</v>
      </c>
      <c r="D756">
        <v>213.8</v>
      </c>
      <c r="E756" s="19">
        <v>45224</v>
      </c>
      <c r="F756">
        <v>241.25</v>
      </c>
      <c r="G756" s="19">
        <v>45238</v>
      </c>
      <c r="H756">
        <v>-12.83910196445275</v>
      </c>
    </row>
    <row r="757" spans="1:8" x14ac:dyDescent="0.25">
      <c r="A757" t="s">
        <v>114</v>
      </c>
      <c r="B757" t="s">
        <v>385</v>
      </c>
      <c r="C757">
        <v>129</v>
      </c>
      <c r="D757">
        <v>172.75</v>
      </c>
      <c r="E757" s="19">
        <v>45034</v>
      </c>
      <c r="F757">
        <v>223.2</v>
      </c>
      <c r="G757" s="19">
        <v>45219</v>
      </c>
      <c r="H757">
        <v>29.204052098408091</v>
      </c>
    </row>
    <row r="758" spans="1:8" x14ac:dyDescent="0.25">
      <c r="A758" t="s">
        <v>115</v>
      </c>
      <c r="B758" t="s">
        <v>385</v>
      </c>
      <c r="C758">
        <v>17</v>
      </c>
      <c r="D758">
        <v>657.2</v>
      </c>
      <c r="E758" s="19">
        <v>45637</v>
      </c>
      <c r="F758">
        <v>633.85</v>
      </c>
      <c r="G758" s="19">
        <v>45660</v>
      </c>
      <c r="H758">
        <v>-3.552951917224592</v>
      </c>
    </row>
    <row r="759" spans="1:8" x14ac:dyDescent="0.25">
      <c r="A759" t="s">
        <v>115</v>
      </c>
      <c r="B759" t="s">
        <v>383</v>
      </c>
      <c r="C759">
        <v>29</v>
      </c>
      <c r="D759">
        <v>564</v>
      </c>
      <c r="E759" s="19">
        <v>45593</v>
      </c>
      <c r="F759">
        <v>625.65</v>
      </c>
      <c r="G759" s="19">
        <v>45635</v>
      </c>
      <c r="H759">
        <v>-10.930851063829779</v>
      </c>
    </row>
    <row r="760" spans="1:8" x14ac:dyDescent="0.25">
      <c r="A760" t="s">
        <v>115</v>
      </c>
      <c r="B760" t="s">
        <v>385</v>
      </c>
      <c r="C760">
        <v>34</v>
      </c>
      <c r="D760">
        <v>616.35</v>
      </c>
      <c r="E760" s="19">
        <v>45541</v>
      </c>
      <c r="F760">
        <v>581.1</v>
      </c>
      <c r="G760" s="19">
        <v>45589</v>
      </c>
      <c r="H760">
        <v>-5.7191530786079339</v>
      </c>
    </row>
    <row r="761" spans="1:8" x14ac:dyDescent="0.25">
      <c r="A761" t="s">
        <v>115</v>
      </c>
      <c r="B761" t="s">
        <v>383</v>
      </c>
      <c r="C761">
        <v>17</v>
      </c>
      <c r="D761">
        <v>595.70000000000005</v>
      </c>
      <c r="E761" s="19">
        <v>45516</v>
      </c>
      <c r="F761">
        <v>620.1</v>
      </c>
      <c r="G761" s="19">
        <v>45539</v>
      </c>
      <c r="H761">
        <v>-4.0960214873258307</v>
      </c>
    </row>
    <row r="762" spans="1:8" x14ac:dyDescent="0.25">
      <c r="A762" t="s">
        <v>115</v>
      </c>
      <c r="B762" t="s">
        <v>385</v>
      </c>
      <c r="C762">
        <v>81</v>
      </c>
      <c r="D762">
        <v>486</v>
      </c>
      <c r="E762" s="19">
        <v>45394</v>
      </c>
      <c r="F762">
        <v>588.79999999999995</v>
      </c>
      <c r="G762" s="19">
        <v>45512</v>
      </c>
      <c r="H762">
        <v>21.152263374485589</v>
      </c>
    </row>
    <row r="763" spans="1:8" x14ac:dyDescent="0.25">
      <c r="A763" t="s">
        <v>115</v>
      </c>
      <c r="B763" t="s">
        <v>383</v>
      </c>
      <c r="C763">
        <v>20</v>
      </c>
      <c r="D763">
        <v>471.43</v>
      </c>
      <c r="E763" s="19">
        <v>45362</v>
      </c>
      <c r="F763">
        <v>500.65</v>
      </c>
      <c r="G763" s="19">
        <v>45391</v>
      </c>
      <c r="H763">
        <v>-6.1981630358695821</v>
      </c>
    </row>
    <row r="764" spans="1:8" x14ac:dyDescent="0.25">
      <c r="A764" t="s">
        <v>115</v>
      </c>
      <c r="B764" t="s">
        <v>385</v>
      </c>
      <c r="C764">
        <v>227</v>
      </c>
      <c r="D764">
        <v>216.75</v>
      </c>
      <c r="E764" s="19">
        <v>45028</v>
      </c>
      <c r="F764">
        <v>471.3</v>
      </c>
      <c r="G764" s="19">
        <v>45357</v>
      </c>
      <c r="H764">
        <v>117.43944636678199</v>
      </c>
    </row>
    <row r="765" spans="1:8" x14ac:dyDescent="0.25">
      <c r="A765" t="s">
        <v>116</v>
      </c>
      <c r="B765" t="s">
        <v>383</v>
      </c>
      <c r="C765">
        <v>59</v>
      </c>
      <c r="D765">
        <v>198.62</v>
      </c>
      <c r="E765" s="19">
        <v>45575</v>
      </c>
      <c r="F765">
        <v>142.57</v>
      </c>
      <c r="G765" s="19">
        <v>45660</v>
      </c>
      <c r="H765">
        <v>28.219716040680709</v>
      </c>
    </row>
    <row r="766" spans="1:8" x14ac:dyDescent="0.25">
      <c r="A766" t="s">
        <v>116</v>
      </c>
      <c r="B766" t="s">
        <v>385</v>
      </c>
      <c r="C766">
        <v>68</v>
      </c>
      <c r="D766">
        <v>188.94</v>
      </c>
      <c r="E766" s="19">
        <v>45475</v>
      </c>
      <c r="F766">
        <v>197.07</v>
      </c>
      <c r="G766" s="19">
        <v>45573</v>
      </c>
      <c r="H766">
        <v>4.3029533185138114</v>
      </c>
    </row>
    <row r="767" spans="1:8" x14ac:dyDescent="0.25">
      <c r="A767" t="s">
        <v>116</v>
      </c>
      <c r="B767" t="s">
        <v>383</v>
      </c>
      <c r="C767">
        <v>25</v>
      </c>
      <c r="D767">
        <v>166.7</v>
      </c>
      <c r="E767" s="19">
        <v>45436</v>
      </c>
      <c r="F767">
        <v>173.44</v>
      </c>
      <c r="G767" s="19">
        <v>45471</v>
      </c>
      <c r="H767">
        <v>-4.0431913617276596</v>
      </c>
    </row>
    <row r="768" spans="1:8" x14ac:dyDescent="0.25">
      <c r="A768" t="s">
        <v>116</v>
      </c>
      <c r="B768" t="s">
        <v>385</v>
      </c>
      <c r="C768">
        <v>267</v>
      </c>
      <c r="D768">
        <v>36.75</v>
      </c>
      <c r="E768" s="19">
        <v>45042</v>
      </c>
      <c r="F768">
        <v>169</v>
      </c>
      <c r="G768" s="19">
        <v>45434</v>
      </c>
      <c r="H768">
        <v>359.86394557823132</v>
      </c>
    </row>
    <row r="769" spans="1:8" x14ac:dyDescent="0.25">
      <c r="A769" t="s">
        <v>117</v>
      </c>
      <c r="B769" t="s">
        <v>383</v>
      </c>
      <c r="C769">
        <v>67</v>
      </c>
      <c r="D769">
        <v>751.65</v>
      </c>
      <c r="E769" s="19">
        <v>45562</v>
      </c>
      <c r="F769">
        <v>614.45000000000005</v>
      </c>
      <c r="G769" s="19">
        <v>45660</v>
      </c>
      <c r="H769">
        <v>18.2531763453735</v>
      </c>
    </row>
    <row r="770" spans="1:8" x14ac:dyDescent="0.25">
      <c r="A770" t="s">
        <v>117</v>
      </c>
      <c r="B770" t="s">
        <v>385</v>
      </c>
      <c r="C770">
        <v>101</v>
      </c>
      <c r="D770">
        <v>495.45</v>
      </c>
      <c r="E770" s="19">
        <v>45415</v>
      </c>
      <c r="F770">
        <v>742.55</v>
      </c>
      <c r="G770" s="19">
        <v>45560</v>
      </c>
      <c r="H770">
        <v>49.873852053688559</v>
      </c>
    </row>
    <row r="771" spans="1:8" x14ac:dyDescent="0.25">
      <c r="A771" t="s">
        <v>117</v>
      </c>
      <c r="B771" t="s">
        <v>383</v>
      </c>
      <c r="C771">
        <v>63</v>
      </c>
      <c r="D771">
        <v>499.6</v>
      </c>
      <c r="E771" s="19">
        <v>45320</v>
      </c>
      <c r="F771">
        <v>486.9</v>
      </c>
      <c r="G771" s="19">
        <v>45412</v>
      </c>
      <c r="H771">
        <v>2.5420336269015298</v>
      </c>
    </row>
    <row r="772" spans="1:8" x14ac:dyDescent="0.25">
      <c r="A772" t="s">
        <v>117</v>
      </c>
      <c r="B772" t="s">
        <v>385</v>
      </c>
      <c r="C772">
        <v>18</v>
      </c>
      <c r="D772">
        <v>572.70000000000005</v>
      </c>
      <c r="E772" s="19">
        <v>45292</v>
      </c>
      <c r="F772">
        <v>497.1</v>
      </c>
      <c r="G772" s="19">
        <v>45315</v>
      </c>
      <c r="H772">
        <v>-13.20062860136197</v>
      </c>
    </row>
    <row r="773" spans="1:8" x14ac:dyDescent="0.25">
      <c r="A773" t="s">
        <v>117</v>
      </c>
      <c r="B773" t="s">
        <v>383</v>
      </c>
      <c r="C773">
        <v>27</v>
      </c>
      <c r="D773">
        <v>491.95</v>
      </c>
      <c r="E773" s="19">
        <v>45250</v>
      </c>
      <c r="F773">
        <v>533</v>
      </c>
      <c r="G773" s="19">
        <v>45288</v>
      </c>
      <c r="H773">
        <v>-8.3443439373920132</v>
      </c>
    </row>
    <row r="774" spans="1:8" x14ac:dyDescent="0.25">
      <c r="A774" t="s">
        <v>117</v>
      </c>
      <c r="B774" t="s">
        <v>385</v>
      </c>
      <c r="C774">
        <v>127</v>
      </c>
      <c r="D774">
        <v>388.05</v>
      </c>
      <c r="E774" s="19">
        <v>45063</v>
      </c>
      <c r="F774">
        <v>501</v>
      </c>
      <c r="G774" s="19">
        <v>45246</v>
      </c>
      <c r="H774">
        <v>29.10707383069192</v>
      </c>
    </row>
    <row r="775" spans="1:8" x14ac:dyDescent="0.25">
      <c r="A775" t="s">
        <v>118</v>
      </c>
      <c r="B775" t="s">
        <v>383</v>
      </c>
      <c r="C775">
        <v>9</v>
      </c>
      <c r="D775">
        <v>1914.4</v>
      </c>
      <c r="E775" s="19">
        <v>45649</v>
      </c>
      <c r="F775">
        <v>1813.85</v>
      </c>
      <c r="G775" s="19">
        <v>45660</v>
      </c>
      <c r="H775">
        <v>5.252298370246562</v>
      </c>
    </row>
    <row r="776" spans="1:8" x14ac:dyDescent="0.25">
      <c r="A776" t="s">
        <v>118</v>
      </c>
      <c r="B776" t="s">
        <v>385</v>
      </c>
      <c r="C776">
        <v>8</v>
      </c>
      <c r="D776">
        <v>2158.4499999999998</v>
      </c>
      <c r="E776" s="19">
        <v>45636</v>
      </c>
      <c r="F776">
        <v>2005.25</v>
      </c>
      <c r="G776" s="19">
        <v>45645</v>
      </c>
      <c r="H776">
        <v>-7.0976858393754698</v>
      </c>
    </row>
    <row r="777" spans="1:8" x14ac:dyDescent="0.25">
      <c r="A777" t="s">
        <v>118</v>
      </c>
      <c r="B777" t="s">
        <v>383</v>
      </c>
      <c r="C777">
        <v>11</v>
      </c>
      <c r="D777">
        <v>1946.65</v>
      </c>
      <c r="E777" s="19">
        <v>45618</v>
      </c>
      <c r="F777">
        <v>2084</v>
      </c>
      <c r="G777" s="19">
        <v>45632</v>
      </c>
      <c r="H777">
        <v>-7.0557110934168898</v>
      </c>
    </row>
    <row r="778" spans="1:8" x14ac:dyDescent="0.25">
      <c r="A778" t="s">
        <v>118</v>
      </c>
      <c r="B778" t="s">
        <v>385</v>
      </c>
      <c r="C778">
        <v>220</v>
      </c>
      <c r="D778">
        <v>1051.0999999999999</v>
      </c>
      <c r="E778" s="19">
        <v>45293</v>
      </c>
      <c r="F778">
        <v>1927.8</v>
      </c>
      <c r="G778" s="19">
        <v>45615</v>
      </c>
      <c r="H778">
        <v>83.407858434021506</v>
      </c>
    </row>
    <row r="779" spans="1:8" x14ac:dyDescent="0.25">
      <c r="A779" t="s">
        <v>118</v>
      </c>
      <c r="B779" t="s">
        <v>383</v>
      </c>
      <c r="C779">
        <v>49</v>
      </c>
      <c r="D779">
        <v>955.3</v>
      </c>
      <c r="E779" s="19">
        <v>45218</v>
      </c>
      <c r="F779">
        <v>977.05</v>
      </c>
      <c r="G779" s="19">
        <v>45289</v>
      </c>
      <c r="H779">
        <v>-2.2767716947555741</v>
      </c>
    </row>
    <row r="780" spans="1:8" x14ac:dyDescent="0.25">
      <c r="A780" t="s">
        <v>118</v>
      </c>
      <c r="B780" t="s">
        <v>385</v>
      </c>
      <c r="C780">
        <v>26</v>
      </c>
      <c r="D780">
        <v>1063.8499999999999</v>
      </c>
      <c r="E780" s="19">
        <v>45177</v>
      </c>
      <c r="F780">
        <v>979.55</v>
      </c>
      <c r="G780" s="19">
        <v>45216</v>
      </c>
      <c r="H780">
        <v>-7.9240494430605786</v>
      </c>
    </row>
    <row r="781" spans="1:8" x14ac:dyDescent="0.25">
      <c r="A781" t="s">
        <v>118</v>
      </c>
      <c r="B781" t="s">
        <v>383</v>
      </c>
      <c r="C781">
        <v>32</v>
      </c>
      <c r="D781">
        <v>955</v>
      </c>
      <c r="E781" s="19">
        <v>45131</v>
      </c>
      <c r="F781">
        <v>1033</v>
      </c>
      <c r="G781" s="19">
        <v>45175</v>
      </c>
      <c r="H781">
        <v>-8.167539267015707</v>
      </c>
    </row>
    <row r="782" spans="1:8" x14ac:dyDescent="0.25">
      <c r="A782" t="s">
        <v>118</v>
      </c>
      <c r="B782" t="s">
        <v>385</v>
      </c>
      <c r="C782">
        <v>29</v>
      </c>
      <c r="D782">
        <v>1040.8499999999999</v>
      </c>
      <c r="E782" s="19">
        <v>45086</v>
      </c>
      <c r="F782">
        <v>979.5</v>
      </c>
      <c r="G782" s="19">
        <v>45127</v>
      </c>
      <c r="H782">
        <v>-5.8942210693183377</v>
      </c>
    </row>
    <row r="783" spans="1:8" x14ac:dyDescent="0.25">
      <c r="A783" t="s">
        <v>118</v>
      </c>
      <c r="B783" t="s">
        <v>383</v>
      </c>
      <c r="C783">
        <v>149</v>
      </c>
      <c r="D783">
        <v>1301.95</v>
      </c>
      <c r="E783" s="19">
        <v>44866</v>
      </c>
      <c r="F783">
        <v>1067.6500000000001</v>
      </c>
      <c r="G783" s="19">
        <v>45084</v>
      </c>
      <c r="H783">
        <v>17.9960827988786</v>
      </c>
    </row>
    <row r="784" spans="1:8" x14ac:dyDescent="0.25">
      <c r="A784" t="s">
        <v>119</v>
      </c>
      <c r="B784" t="s">
        <v>383</v>
      </c>
      <c r="C784">
        <v>0</v>
      </c>
      <c r="D784">
        <v>569.65</v>
      </c>
      <c r="E784" s="19">
        <v>45012</v>
      </c>
      <c r="F784">
        <v>1297.3499999999999</v>
      </c>
      <c r="G784" s="19">
        <v>45660</v>
      </c>
      <c r="H784">
        <v>-127.74510664443081</v>
      </c>
    </row>
    <row r="785" spans="1:8" x14ac:dyDescent="0.25">
      <c r="A785" t="s">
        <v>119</v>
      </c>
      <c r="B785" t="s">
        <v>385</v>
      </c>
      <c r="C785">
        <v>170</v>
      </c>
      <c r="D785">
        <v>895.95</v>
      </c>
      <c r="E785" s="19">
        <v>45412</v>
      </c>
      <c r="F785">
        <v>1321.3</v>
      </c>
      <c r="G785" s="19">
        <v>45659</v>
      </c>
      <c r="H785">
        <v>47.474747474747467</v>
      </c>
    </row>
    <row r="786" spans="1:8" x14ac:dyDescent="0.25">
      <c r="A786" t="s">
        <v>119</v>
      </c>
      <c r="B786" t="s">
        <v>383</v>
      </c>
      <c r="C786">
        <v>47</v>
      </c>
      <c r="D786">
        <v>888.6</v>
      </c>
      <c r="E786" s="19">
        <v>45338</v>
      </c>
      <c r="F786">
        <v>892.95</v>
      </c>
      <c r="G786" s="19">
        <v>45408</v>
      </c>
      <c r="H786">
        <v>-0.48953409858204172</v>
      </c>
    </row>
    <row r="787" spans="1:8" x14ac:dyDescent="0.25">
      <c r="A787" t="s">
        <v>119</v>
      </c>
      <c r="B787" t="s">
        <v>385</v>
      </c>
      <c r="C787">
        <v>197</v>
      </c>
      <c r="D787">
        <v>623.6</v>
      </c>
      <c r="E787" s="19">
        <v>45050</v>
      </c>
      <c r="F787">
        <v>865.55</v>
      </c>
      <c r="G787" s="19">
        <v>45336</v>
      </c>
      <c r="H787">
        <v>38.798909557408592</v>
      </c>
    </row>
    <row r="788" spans="1:8" x14ac:dyDescent="0.25">
      <c r="A788" t="s">
        <v>120</v>
      </c>
      <c r="B788" t="s">
        <v>383</v>
      </c>
      <c r="C788">
        <v>51</v>
      </c>
      <c r="D788">
        <v>3671.7</v>
      </c>
      <c r="E788" s="19">
        <v>45587</v>
      </c>
      <c r="F788">
        <v>3371.9</v>
      </c>
      <c r="G788" s="19">
        <v>45660</v>
      </c>
      <c r="H788">
        <v>8.165155105264585</v>
      </c>
    </row>
    <row r="789" spans="1:8" x14ac:dyDescent="0.25">
      <c r="A789" t="s">
        <v>120</v>
      </c>
      <c r="B789" t="s">
        <v>385</v>
      </c>
      <c r="C789">
        <v>18</v>
      </c>
      <c r="D789">
        <v>4349.3</v>
      </c>
      <c r="E789" s="19">
        <v>45559</v>
      </c>
      <c r="F789">
        <v>3815.4</v>
      </c>
      <c r="G789" s="19">
        <v>45583</v>
      </c>
      <c r="H789">
        <v>-12.27553859241717</v>
      </c>
    </row>
    <row r="790" spans="1:8" x14ac:dyDescent="0.25">
      <c r="A790" t="s">
        <v>120</v>
      </c>
      <c r="B790" t="s">
        <v>383</v>
      </c>
      <c r="C790">
        <v>29</v>
      </c>
      <c r="D790">
        <v>3714.35</v>
      </c>
      <c r="E790" s="19">
        <v>45516</v>
      </c>
      <c r="F790">
        <v>4079.25</v>
      </c>
      <c r="G790" s="19">
        <v>45555</v>
      </c>
      <c r="H790">
        <v>-9.824060737410317</v>
      </c>
    </row>
    <row r="791" spans="1:8" x14ac:dyDescent="0.25">
      <c r="A791" t="s">
        <v>120</v>
      </c>
      <c r="B791" t="s">
        <v>385</v>
      </c>
      <c r="C791">
        <v>83</v>
      </c>
      <c r="D791">
        <v>3022.1</v>
      </c>
      <c r="E791" s="19">
        <v>45391</v>
      </c>
      <c r="F791">
        <v>3689.5</v>
      </c>
      <c r="G791" s="19">
        <v>45512</v>
      </c>
      <c r="H791">
        <v>22.083981337480559</v>
      </c>
    </row>
    <row r="792" spans="1:8" x14ac:dyDescent="0.25">
      <c r="A792" t="s">
        <v>120</v>
      </c>
      <c r="B792" t="s">
        <v>383</v>
      </c>
      <c r="C792">
        <v>73</v>
      </c>
      <c r="D792">
        <v>2984.85</v>
      </c>
      <c r="E792" s="19">
        <v>45281</v>
      </c>
      <c r="F792">
        <v>2998.35</v>
      </c>
      <c r="G792" s="19">
        <v>45387</v>
      </c>
      <c r="H792">
        <v>-0.45228403437358672</v>
      </c>
    </row>
    <row r="793" spans="1:8" x14ac:dyDescent="0.25">
      <c r="A793" t="s">
        <v>120</v>
      </c>
      <c r="B793" t="s">
        <v>385</v>
      </c>
      <c r="C793">
        <v>156</v>
      </c>
      <c r="D793">
        <v>2090.9</v>
      </c>
      <c r="E793" s="19">
        <v>45054</v>
      </c>
      <c r="F793">
        <v>3098.95</v>
      </c>
      <c r="G793" s="19">
        <v>45279</v>
      </c>
      <c r="H793">
        <v>48.211296570854643</v>
      </c>
    </row>
    <row r="794" spans="1:8" x14ac:dyDescent="0.25">
      <c r="A794" t="s">
        <v>121</v>
      </c>
      <c r="B794" t="s">
        <v>383</v>
      </c>
      <c r="C794">
        <v>2</v>
      </c>
      <c r="D794">
        <v>189.6</v>
      </c>
      <c r="E794" s="19">
        <v>45659</v>
      </c>
      <c r="F794">
        <v>189.64</v>
      </c>
      <c r="G794" s="19">
        <v>45660</v>
      </c>
      <c r="H794">
        <v>-2.1097046413497911E-2</v>
      </c>
    </row>
    <row r="795" spans="1:8" x14ac:dyDescent="0.25">
      <c r="A795" t="s">
        <v>121</v>
      </c>
      <c r="B795" t="s">
        <v>385</v>
      </c>
      <c r="C795">
        <v>26</v>
      </c>
      <c r="D795">
        <v>212.13</v>
      </c>
      <c r="E795" s="19">
        <v>45621</v>
      </c>
      <c r="F795">
        <v>184.93</v>
      </c>
      <c r="G795" s="19">
        <v>45657</v>
      </c>
      <c r="H795">
        <v>-12.822325932211379</v>
      </c>
    </row>
    <row r="796" spans="1:8" x14ac:dyDescent="0.25">
      <c r="A796" t="s">
        <v>121</v>
      </c>
      <c r="B796" t="s">
        <v>383</v>
      </c>
      <c r="C796">
        <v>6</v>
      </c>
      <c r="D796">
        <v>175.48</v>
      </c>
      <c r="E796" s="19">
        <v>45608</v>
      </c>
      <c r="F796">
        <v>202.62</v>
      </c>
      <c r="G796" s="19">
        <v>45617</v>
      </c>
      <c r="H796">
        <v>-15.4661499886027</v>
      </c>
    </row>
    <row r="797" spans="1:8" x14ac:dyDescent="0.25">
      <c r="A797" t="s">
        <v>121</v>
      </c>
      <c r="B797" t="s">
        <v>385</v>
      </c>
      <c r="C797">
        <v>84</v>
      </c>
      <c r="D797">
        <v>147.82</v>
      </c>
      <c r="E797" s="19">
        <v>45484</v>
      </c>
      <c r="F797">
        <v>184.4</v>
      </c>
      <c r="G797" s="19">
        <v>45604</v>
      </c>
      <c r="H797">
        <v>24.746313083479919</v>
      </c>
    </row>
    <row r="798" spans="1:8" x14ac:dyDescent="0.25">
      <c r="A798" t="s">
        <v>121</v>
      </c>
      <c r="B798" t="s">
        <v>383</v>
      </c>
      <c r="C798">
        <v>42</v>
      </c>
      <c r="D798">
        <v>134.30000000000001</v>
      </c>
      <c r="E798" s="19">
        <v>45422</v>
      </c>
      <c r="F798">
        <v>148.83000000000001</v>
      </c>
      <c r="G798" s="19">
        <v>45482</v>
      </c>
      <c r="H798">
        <v>-10.819061801935961</v>
      </c>
    </row>
    <row r="799" spans="1:8" x14ac:dyDescent="0.25">
      <c r="A799" t="s">
        <v>121</v>
      </c>
      <c r="B799" t="s">
        <v>385</v>
      </c>
      <c r="C799">
        <v>18</v>
      </c>
      <c r="D799">
        <v>152.6</v>
      </c>
      <c r="E799" s="19">
        <v>45392</v>
      </c>
      <c r="F799">
        <v>139.1</v>
      </c>
      <c r="G799" s="19">
        <v>45420</v>
      </c>
      <c r="H799">
        <v>-8.8466579292267369</v>
      </c>
    </row>
    <row r="800" spans="1:8" x14ac:dyDescent="0.25">
      <c r="A800" t="s">
        <v>121</v>
      </c>
      <c r="B800" t="s">
        <v>383</v>
      </c>
      <c r="C800">
        <v>15</v>
      </c>
      <c r="D800">
        <v>128.94999999999999</v>
      </c>
      <c r="E800" s="19">
        <v>45366</v>
      </c>
      <c r="F800">
        <v>150.15</v>
      </c>
      <c r="G800" s="19">
        <v>45390</v>
      </c>
      <c r="H800">
        <v>-16.44048080651417</v>
      </c>
    </row>
    <row r="801" spans="1:8" x14ac:dyDescent="0.25">
      <c r="A801" t="s">
        <v>121</v>
      </c>
      <c r="B801" t="s">
        <v>385</v>
      </c>
      <c r="C801">
        <v>85</v>
      </c>
      <c r="D801">
        <v>123.4</v>
      </c>
      <c r="E801" s="19">
        <v>45242</v>
      </c>
      <c r="F801">
        <v>117.1</v>
      </c>
      <c r="G801" s="19">
        <v>45364</v>
      </c>
      <c r="H801">
        <v>-5.1053484602917436</v>
      </c>
    </row>
    <row r="802" spans="1:8" x14ac:dyDescent="0.25">
      <c r="A802" t="s">
        <v>121</v>
      </c>
      <c r="B802" t="s">
        <v>383</v>
      </c>
      <c r="C802">
        <v>11</v>
      </c>
      <c r="D802">
        <v>111.8</v>
      </c>
      <c r="E802" s="19">
        <v>45225</v>
      </c>
      <c r="F802">
        <v>120.5</v>
      </c>
      <c r="G802" s="19">
        <v>45239</v>
      </c>
      <c r="H802">
        <v>-7.7817531305903422</v>
      </c>
    </row>
    <row r="803" spans="1:8" x14ac:dyDescent="0.25">
      <c r="A803" t="s">
        <v>121</v>
      </c>
      <c r="B803" t="s">
        <v>385</v>
      </c>
      <c r="C803">
        <v>1</v>
      </c>
      <c r="D803">
        <v>115.55</v>
      </c>
      <c r="E803" s="19">
        <v>45222</v>
      </c>
      <c r="F803">
        <v>115.55</v>
      </c>
      <c r="G803" s="19">
        <v>45222</v>
      </c>
      <c r="H803">
        <v>0</v>
      </c>
    </row>
    <row r="804" spans="1:8" x14ac:dyDescent="0.25">
      <c r="A804" t="s">
        <v>121</v>
      </c>
      <c r="B804" t="s">
        <v>383</v>
      </c>
      <c r="C804">
        <v>8</v>
      </c>
      <c r="D804">
        <v>115.45</v>
      </c>
      <c r="E804" s="19">
        <v>45209</v>
      </c>
      <c r="F804">
        <v>123.35</v>
      </c>
      <c r="G804" s="19">
        <v>45218</v>
      </c>
      <c r="H804">
        <v>-6.8427890861844878</v>
      </c>
    </row>
    <row r="805" spans="1:8" x14ac:dyDescent="0.25">
      <c r="A805" t="s">
        <v>121</v>
      </c>
      <c r="B805" t="s">
        <v>385</v>
      </c>
      <c r="C805">
        <v>17</v>
      </c>
      <c r="D805">
        <v>118.2</v>
      </c>
      <c r="E805" s="19">
        <v>45181</v>
      </c>
      <c r="F805">
        <v>116.65</v>
      </c>
      <c r="G805" s="19">
        <v>45205</v>
      </c>
      <c r="H805">
        <v>-1.3113367174280861</v>
      </c>
    </row>
    <row r="806" spans="1:8" x14ac:dyDescent="0.25">
      <c r="A806" t="s">
        <v>121</v>
      </c>
      <c r="B806" t="s">
        <v>383</v>
      </c>
      <c r="C806">
        <v>10</v>
      </c>
      <c r="D806">
        <v>110.25</v>
      </c>
      <c r="E806" s="19">
        <v>45166</v>
      </c>
      <c r="F806">
        <v>120.8</v>
      </c>
      <c r="G806" s="19">
        <v>45177</v>
      </c>
      <c r="H806">
        <v>-9.569160997732423</v>
      </c>
    </row>
    <row r="807" spans="1:8" x14ac:dyDescent="0.25">
      <c r="A807" t="s">
        <v>121</v>
      </c>
      <c r="B807" t="s">
        <v>385</v>
      </c>
      <c r="C807">
        <v>99</v>
      </c>
      <c r="D807">
        <v>89.65</v>
      </c>
      <c r="E807" s="19">
        <v>45016</v>
      </c>
      <c r="F807">
        <v>114.4</v>
      </c>
      <c r="G807" s="19">
        <v>45162</v>
      </c>
      <c r="H807">
        <v>27.607361963190179</v>
      </c>
    </row>
    <row r="808" spans="1:8" x14ac:dyDescent="0.25">
      <c r="A808" t="s">
        <v>122</v>
      </c>
      <c r="B808" t="s">
        <v>385</v>
      </c>
      <c r="C808">
        <v>12</v>
      </c>
      <c r="D808">
        <v>434.7</v>
      </c>
      <c r="E808" s="19">
        <v>45644</v>
      </c>
      <c r="F808">
        <v>433.5</v>
      </c>
      <c r="G808" s="19">
        <v>45660</v>
      </c>
      <c r="H808">
        <v>-0.27605244996549078</v>
      </c>
    </row>
    <row r="809" spans="1:8" x14ac:dyDescent="0.25">
      <c r="A809" t="s">
        <v>122</v>
      </c>
      <c r="B809" t="s">
        <v>383</v>
      </c>
      <c r="C809">
        <v>63</v>
      </c>
      <c r="D809">
        <v>464</v>
      </c>
      <c r="E809" s="19">
        <v>45551</v>
      </c>
      <c r="F809">
        <v>434.8</v>
      </c>
      <c r="G809" s="19">
        <v>45642</v>
      </c>
      <c r="H809">
        <v>6.2931034482758594</v>
      </c>
    </row>
    <row r="810" spans="1:8" x14ac:dyDescent="0.25">
      <c r="A810" t="s">
        <v>122</v>
      </c>
      <c r="B810" t="s">
        <v>385</v>
      </c>
      <c r="C810">
        <v>62</v>
      </c>
      <c r="D810">
        <v>438.6</v>
      </c>
      <c r="E810" s="19">
        <v>45457</v>
      </c>
      <c r="F810">
        <v>470.6</v>
      </c>
      <c r="G810" s="19">
        <v>45547</v>
      </c>
      <c r="H810">
        <v>7.2959416324669402</v>
      </c>
    </row>
    <row r="811" spans="1:8" x14ac:dyDescent="0.25">
      <c r="A811" t="s">
        <v>122</v>
      </c>
      <c r="B811" t="s">
        <v>383</v>
      </c>
      <c r="C811">
        <v>6</v>
      </c>
      <c r="D811">
        <v>385.95</v>
      </c>
      <c r="E811" s="19">
        <v>45448</v>
      </c>
      <c r="F811">
        <v>422.7</v>
      </c>
      <c r="G811" s="19">
        <v>45455</v>
      </c>
      <c r="H811">
        <v>-9.5219588029537512</v>
      </c>
    </row>
    <row r="812" spans="1:8" x14ac:dyDescent="0.25">
      <c r="A812" t="s">
        <v>122</v>
      </c>
      <c r="B812" t="s">
        <v>385</v>
      </c>
      <c r="C812">
        <v>21</v>
      </c>
      <c r="D812">
        <v>428.25</v>
      </c>
      <c r="E812" s="19">
        <v>45418</v>
      </c>
      <c r="F812">
        <v>406.4</v>
      </c>
      <c r="G812" s="19">
        <v>45446</v>
      </c>
      <c r="H812">
        <v>-5.1021599532983126</v>
      </c>
    </row>
    <row r="813" spans="1:8" x14ac:dyDescent="0.25">
      <c r="A813" t="s">
        <v>122</v>
      </c>
      <c r="B813" t="s">
        <v>383</v>
      </c>
      <c r="C813">
        <v>69</v>
      </c>
      <c r="D813">
        <v>440</v>
      </c>
      <c r="E813" s="19">
        <v>45310</v>
      </c>
      <c r="F813">
        <v>427</v>
      </c>
      <c r="G813" s="19">
        <v>45414</v>
      </c>
      <c r="H813">
        <v>2.954545454545455</v>
      </c>
    </row>
    <row r="814" spans="1:8" x14ac:dyDescent="0.25">
      <c r="A814" t="s">
        <v>122</v>
      </c>
      <c r="B814" t="s">
        <v>385</v>
      </c>
      <c r="C814">
        <v>65</v>
      </c>
      <c r="D814">
        <v>477.4</v>
      </c>
      <c r="E814" s="19">
        <v>45215</v>
      </c>
      <c r="F814">
        <v>440.75</v>
      </c>
      <c r="G814" s="19">
        <v>45308</v>
      </c>
      <c r="H814">
        <v>-7.6770004189358989</v>
      </c>
    </row>
    <row r="815" spans="1:8" x14ac:dyDescent="0.25">
      <c r="A815" t="s">
        <v>122</v>
      </c>
      <c r="B815" t="s">
        <v>383</v>
      </c>
      <c r="C815">
        <v>11</v>
      </c>
      <c r="D815">
        <v>373</v>
      </c>
      <c r="E815" s="19">
        <v>45196</v>
      </c>
      <c r="F815">
        <v>400.85</v>
      </c>
      <c r="G815" s="19">
        <v>45211</v>
      </c>
      <c r="H815">
        <v>-7.4664879356568434</v>
      </c>
    </row>
    <row r="816" spans="1:8" x14ac:dyDescent="0.25">
      <c r="A816" t="s">
        <v>122</v>
      </c>
      <c r="B816" t="s">
        <v>385</v>
      </c>
      <c r="C816">
        <v>18</v>
      </c>
      <c r="D816">
        <v>397.25</v>
      </c>
      <c r="E816" s="19">
        <v>45168</v>
      </c>
      <c r="F816">
        <v>374.5</v>
      </c>
      <c r="G816" s="19">
        <v>45194</v>
      </c>
      <c r="H816">
        <v>-5.7268722466960353</v>
      </c>
    </row>
    <row r="817" spans="1:8" x14ac:dyDescent="0.25">
      <c r="A817" t="s">
        <v>123</v>
      </c>
      <c r="B817" t="s">
        <v>383</v>
      </c>
      <c r="C817">
        <v>46</v>
      </c>
      <c r="D817">
        <v>520.70000000000005</v>
      </c>
      <c r="E817" s="19">
        <v>45594</v>
      </c>
      <c r="F817">
        <v>509.6</v>
      </c>
      <c r="G817" s="19">
        <v>45660</v>
      </c>
      <c r="H817">
        <v>2.1317457269060922</v>
      </c>
    </row>
    <row r="818" spans="1:8" x14ac:dyDescent="0.25">
      <c r="A818" t="s">
        <v>123</v>
      </c>
      <c r="B818" t="s">
        <v>385</v>
      </c>
      <c r="C818">
        <v>89</v>
      </c>
      <c r="D818">
        <v>458.45</v>
      </c>
      <c r="E818" s="19">
        <v>45463</v>
      </c>
      <c r="F818">
        <v>516.4</v>
      </c>
      <c r="G818" s="19">
        <v>45590</v>
      </c>
      <c r="H818">
        <v>12.640418802486639</v>
      </c>
    </row>
    <row r="819" spans="1:8" x14ac:dyDescent="0.25">
      <c r="A819" t="s">
        <v>123</v>
      </c>
      <c r="B819" t="s">
        <v>383</v>
      </c>
      <c r="C819">
        <v>6</v>
      </c>
      <c r="D819">
        <v>448.65</v>
      </c>
      <c r="E819" s="19">
        <v>45453</v>
      </c>
      <c r="F819">
        <v>457.95</v>
      </c>
      <c r="G819" s="19">
        <v>45461</v>
      </c>
      <c r="H819">
        <v>-2.0728853226345731</v>
      </c>
    </row>
    <row r="820" spans="1:8" x14ac:dyDescent="0.25">
      <c r="A820" t="s">
        <v>123</v>
      </c>
      <c r="B820" t="s">
        <v>385</v>
      </c>
      <c r="C820">
        <v>139</v>
      </c>
      <c r="D820">
        <v>384.25</v>
      </c>
      <c r="E820" s="19">
        <v>45245</v>
      </c>
      <c r="F820">
        <v>435.45</v>
      </c>
      <c r="G820" s="19">
        <v>45449</v>
      </c>
      <c r="H820">
        <v>13.32465842550423</v>
      </c>
    </row>
    <row r="821" spans="1:8" x14ac:dyDescent="0.25">
      <c r="A821" t="s">
        <v>123</v>
      </c>
      <c r="B821" t="s">
        <v>383</v>
      </c>
      <c r="C821">
        <v>11</v>
      </c>
      <c r="D821">
        <v>365</v>
      </c>
      <c r="E821" s="19">
        <v>45229</v>
      </c>
      <c r="F821">
        <v>387.2</v>
      </c>
      <c r="G821" s="19">
        <v>45242</v>
      </c>
      <c r="H821">
        <v>-6.0821917808219146</v>
      </c>
    </row>
    <row r="822" spans="1:8" x14ac:dyDescent="0.25">
      <c r="A822" t="s">
        <v>123</v>
      </c>
      <c r="B822" t="s">
        <v>385</v>
      </c>
      <c r="C822">
        <v>129</v>
      </c>
      <c r="D822">
        <v>290</v>
      </c>
      <c r="E822" s="19">
        <v>45037</v>
      </c>
      <c r="F822">
        <v>352.7</v>
      </c>
      <c r="G822" s="19">
        <v>45225</v>
      </c>
      <c r="H822">
        <v>21.620689655172409</v>
      </c>
    </row>
    <row r="823" spans="1:8" x14ac:dyDescent="0.25">
      <c r="A823" t="s">
        <v>124</v>
      </c>
      <c r="B823" t="s">
        <v>383</v>
      </c>
      <c r="C823">
        <v>2</v>
      </c>
      <c r="D823">
        <v>206.14</v>
      </c>
      <c r="E823" s="19">
        <v>45659</v>
      </c>
      <c r="F823">
        <v>205.25</v>
      </c>
      <c r="G823" s="19">
        <v>45660</v>
      </c>
      <c r="H823">
        <v>0.43174541573687131</v>
      </c>
    </row>
    <row r="824" spans="1:8" x14ac:dyDescent="0.25">
      <c r="A824" t="s">
        <v>124</v>
      </c>
      <c r="B824" t="s">
        <v>385</v>
      </c>
      <c r="C824">
        <v>42</v>
      </c>
      <c r="D824">
        <v>203.24</v>
      </c>
      <c r="E824" s="19">
        <v>45595</v>
      </c>
      <c r="F824">
        <v>200.02</v>
      </c>
      <c r="G824" s="19">
        <v>45657</v>
      </c>
      <c r="H824">
        <v>-1.584333792560519</v>
      </c>
    </row>
    <row r="825" spans="1:8" x14ac:dyDescent="0.25">
      <c r="A825" t="s">
        <v>124</v>
      </c>
      <c r="B825" t="s">
        <v>383</v>
      </c>
      <c r="C825">
        <v>0</v>
      </c>
      <c r="D825">
        <v>138</v>
      </c>
      <c r="E825" s="19">
        <v>44943</v>
      </c>
      <c r="F825">
        <v>184.99</v>
      </c>
      <c r="G825" s="19">
        <v>45593</v>
      </c>
      <c r="H825">
        <v>-34.050724637681171</v>
      </c>
    </row>
    <row r="826" spans="1:8" x14ac:dyDescent="0.25">
      <c r="A826" t="s">
        <v>124</v>
      </c>
      <c r="B826" t="s">
        <v>385</v>
      </c>
      <c r="C826">
        <v>8</v>
      </c>
      <c r="D826">
        <v>194.4</v>
      </c>
      <c r="E826" s="19">
        <v>45581</v>
      </c>
      <c r="F826">
        <v>186.24</v>
      </c>
      <c r="G826" s="19">
        <v>45590</v>
      </c>
      <c r="H826">
        <v>-4.1975308641975291</v>
      </c>
    </row>
    <row r="827" spans="1:8" x14ac:dyDescent="0.25">
      <c r="A827" t="s">
        <v>124</v>
      </c>
      <c r="B827" t="s">
        <v>383</v>
      </c>
      <c r="C827">
        <v>3</v>
      </c>
      <c r="D827">
        <v>185.68</v>
      </c>
      <c r="E827" s="19">
        <v>45575</v>
      </c>
      <c r="F827">
        <v>196.74</v>
      </c>
      <c r="G827" s="19">
        <v>45579</v>
      </c>
      <c r="H827">
        <v>-5.9564842740198198</v>
      </c>
    </row>
    <row r="828" spans="1:8" x14ac:dyDescent="0.25">
      <c r="A828" t="s">
        <v>124</v>
      </c>
      <c r="B828" t="s">
        <v>385</v>
      </c>
      <c r="C828">
        <v>3</v>
      </c>
      <c r="D828">
        <v>193.67</v>
      </c>
      <c r="E828" s="19">
        <v>45569</v>
      </c>
      <c r="F828">
        <v>187.76</v>
      </c>
      <c r="G828" s="19">
        <v>45573</v>
      </c>
      <c r="H828">
        <v>-3.0515825889399482</v>
      </c>
    </row>
    <row r="829" spans="1:8" x14ac:dyDescent="0.25">
      <c r="A829" t="s">
        <v>124</v>
      </c>
      <c r="B829" t="s">
        <v>383</v>
      </c>
      <c r="C829">
        <v>12</v>
      </c>
      <c r="D829">
        <v>184.69</v>
      </c>
      <c r="E829" s="19">
        <v>45551</v>
      </c>
      <c r="F829">
        <v>197.12</v>
      </c>
      <c r="G829" s="19">
        <v>45566</v>
      </c>
      <c r="H829">
        <v>-6.7301965455628388</v>
      </c>
    </row>
    <row r="830" spans="1:8" x14ac:dyDescent="0.25">
      <c r="A830" t="s">
        <v>124</v>
      </c>
      <c r="B830" t="s">
        <v>385</v>
      </c>
      <c r="C830">
        <v>110</v>
      </c>
      <c r="D830">
        <v>152.44999999999999</v>
      </c>
      <c r="E830" s="19">
        <v>45386</v>
      </c>
      <c r="F830">
        <v>183.58</v>
      </c>
      <c r="G830" s="19">
        <v>45547</v>
      </c>
      <c r="H830">
        <v>20.419809773696311</v>
      </c>
    </row>
    <row r="831" spans="1:8" x14ac:dyDescent="0.25">
      <c r="A831" t="s">
        <v>124</v>
      </c>
      <c r="B831" t="s">
        <v>383</v>
      </c>
      <c r="C831">
        <v>7</v>
      </c>
      <c r="D831">
        <v>149.94999999999999</v>
      </c>
      <c r="E831" s="19">
        <v>45372</v>
      </c>
      <c r="F831">
        <v>154.05000000000001</v>
      </c>
      <c r="G831" s="19">
        <v>45384</v>
      </c>
      <c r="H831">
        <v>-2.7342447482494321</v>
      </c>
    </row>
    <row r="832" spans="1:8" x14ac:dyDescent="0.25">
      <c r="A832" t="s">
        <v>124</v>
      </c>
      <c r="B832" t="s">
        <v>385</v>
      </c>
      <c r="C832">
        <v>22</v>
      </c>
      <c r="D832">
        <v>162.94999999999999</v>
      </c>
      <c r="E832" s="19">
        <v>45341</v>
      </c>
      <c r="F832">
        <v>147.5</v>
      </c>
      <c r="G832" s="19">
        <v>45370</v>
      </c>
      <c r="H832">
        <v>-9.4814360233200308</v>
      </c>
    </row>
    <row r="833" spans="1:8" x14ac:dyDescent="0.25">
      <c r="A833" t="s">
        <v>124</v>
      </c>
      <c r="B833" t="s">
        <v>383</v>
      </c>
      <c r="C833">
        <v>17</v>
      </c>
      <c r="D833">
        <v>140.25</v>
      </c>
      <c r="E833" s="19">
        <v>45314</v>
      </c>
      <c r="F833">
        <v>156.6</v>
      </c>
      <c r="G833" s="19">
        <v>45337</v>
      </c>
      <c r="H833">
        <v>-11.65775401069518</v>
      </c>
    </row>
    <row r="834" spans="1:8" x14ac:dyDescent="0.25">
      <c r="A834" t="s">
        <v>124</v>
      </c>
      <c r="B834" t="s">
        <v>385</v>
      </c>
      <c r="C834">
        <v>135</v>
      </c>
      <c r="D834">
        <v>134.80000000000001</v>
      </c>
      <c r="E834" s="19">
        <v>45114</v>
      </c>
      <c r="F834">
        <v>146.55000000000001</v>
      </c>
      <c r="G834" s="19">
        <v>45310</v>
      </c>
      <c r="H834">
        <v>8.7166172106824931</v>
      </c>
    </row>
    <row r="835" spans="1:8" x14ac:dyDescent="0.25">
      <c r="A835" t="s">
        <v>124</v>
      </c>
      <c r="B835" t="s">
        <v>383</v>
      </c>
      <c r="C835">
        <v>37</v>
      </c>
      <c r="D835">
        <v>127.5</v>
      </c>
      <c r="E835" s="19">
        <v>45061</v>
      </c>
      <c r="F835">
        <v>133.4</v>
      </c>
      <c r="G835" s="19">
        <v>45112</v>
      </c>
      <c r="H835">
        <v>-4.6274509803921617</v>
      </c>
    </row>
    <row r="836" spans="1:8" x14ac:dyDescent="0.25">
      <c r="A836" t="s">
        <v>125</v>
      </c>
      <c r="B836" t="s">
        <v>383</v>
      </c>
      <c r="C836">
        <v>11</v>
      </c>
      <c r="D836">
        <v>4853.8</v>
      </c>
      <c r="E836" s="19">
        <v>45645</v>
      </c>
      <c r="F836">
        <v>4523.1000000000004</v>
      </c>
      <c r="G836" s="19">
        <v>45660</v>
      </c>
      <c r="H836">
        <v>6.8132185092092747</v>
      </c>
    </row>
    <row r="837" spans="1:8" x14ac:dyDescent="0.25">
      <c r="A837" t="s">
        <v>125</v>
      </c>
      <c r="B837" t="s">
        <v>385</v>
      </c>
      <c r="C837">
        <v>9</v>
      </c>
      <c r="D837">
        <v>5098.8999999999996</v>
      </c>
      <c r="E837" s="19">
        <v>45631</v>
      </c>
      <c r="F837">
        <v>4894.7</v>
      </c>
      <c r="G837" s="19">
        <v>45643</v>
      </c>
      <c r="H837">
        <v>-4.0047853458589078</v>
      </c>
    </row>
    <row r="838" spans="1:8" x14ac:dyDescent="0.25">
      <c r="A838" t="s">
        <v>125</v>
      </c>
      <c r="B838" t="s">
        <v>383</v>
      </c>
      <c r="C838">
        <v>39</v>
      </c>
      <c r="D838">
        <v>5015.95</v>
      </c>
      <c r="E838" s="19">
        <v>45573</v>
      </c>
      <c r="F838">
        <v>5229.6499999999996</v>
      </c>
      <c r="G838" s="19">
        <v>45629</v>
      </c>
      <c r="H838">
        <v>-4.2604092943510166</v>
      </c>
    </row>
    <row r="839" spans="1:8" x14ac:dyDescent="0.25">
      <c r="A839" t="s">
        <v>125</v>
      </c>
      <c r="B839" t="s">
        <v>385</v>
      </c>
      <c r="C839">
        <v>111</v>
      </c>
      <c r="D839">
        <v>4481.8500000000004</v>
      </c>
      <c r="E839" s="19">
        <v>45408</v>
      </c>
      <c r="F839">
        <v>5141.7</v>
      </c>
      <c r="G839" s="19">
        <v>45569</v>
      </c>
      <c r="H839">
        <v>14.72271495029953</v>
      </c>
    </row>
    <row r="840" spans="1:8" x14ac:dyDescent="0.25">
      <c r="A840" t="s">
        <v>125</v>
      </c>
      <c r="B840" t="s">
        <v>383</v>
      </c>
      <c r="C840">
        <v>51</v>
      </c>
      <c r="D840">
        <v>4443.95</v>
      </c>
      <c r="E840" s="19">
        <v>45330</v>
      </c>
      <c r="F840">
        <v>4451.45</v>
      </c>
      <c r="G840" s="19">
        <v>45406</v>
      </c>
      <c r="H840">
        <v>-0.16876877552627731</v>
      </c>
    </row>
    <row r="841" spans="1:8" x14ac:dyDescent="0.25">
      <c r="A841" t="s">
        <v>125</v>
      </c>
      <c r="B841" t="s">
        <v>385</v>
      </c>
      <c r="C841">
        <v>29</v>
      </c>
      <c r="D841">
        <v>5031.95</v>
      </c>
      <c r="E841" s="19">
        <v>45287</v>
      </c>
      <c r="F841">
        <v>4495.05</v>
      </c>
      <c r="G841" s="19">
        <v>45328</v>
      </c>
      <c r="H841">
        <v>-10.669819851151139</v>
      </c>
    </row>
    <row r="842" spans="1:8" x14ac:dyDescent="0.25">
      <c r="A842" t="s">
        <v>125</v>
      </c>
      <c r="B842" t="s">
        <v>383</v>
      </c>
      <c r="C842">
        <v>41</v>
      </c>
      <c r="D842">
        <v>4489.55</v>
      </c>
      <c r="E842" s="19">
        <v>45225</v>
      </c>
      <c r="F842">
        <v>4610</v>
      </c>
      <c r="G842" s="19">
        <v>45282</v>
      </c>
      <c r="H842">
        <v>-2.6828969495829158</v>
      </c>
    </row>
    <row r="843" spans="1:8" x14ac:dyDescent="0.25">
      <c r="A843" t="s">
        <v>125</v>
      </c>
      <c r="B843" t="s">
        <v>385</v>
      </c>
      <c r="C843">
        <v>34</v>
      </c>
      <c r="D843">
        <v>4870</v>
      </c>
      <c r="E843" s="19">
        <v>45173</v>
      </c>
      <c r="F843">
        <v>4658</v>
      </c>
      <c r="G843" s="19">
        <v>45222</v>
      </c>
      <c r="H843">
        <v>-4.3531827515400412</v>
      </c>
    </row>
    <row r="844" spans="1:8" x14ac:dyDescent="0.25">
      <c r="A844" t="s">
        <v>125</v>
      </c>
      <c r="B844" t="s">
        <v>383</v>
      </c>
      <c r="C844">
        <v>24</v>
      </c>
      <c r="D844">
        <v>4488</v>
      </c>
      <c r="E844" s="19">
        <v>45135</v>
      </c>
      <c r="F844">
        <v>4800.05</v>
      </c>
      <c r="G844" s="19">
        <v>45169</v>
      </c>
      <c r="H844">
        <v>-6.9529857397504502</v>
      </c>
    </row>
    <row r="845" spans="1:8" x14ac:dyDescent="0.25">
      <c r="A845" t="s">
        <v>125</v>
      </c>
      <c r="B845" t="s">
        <v>385</v>
      </c>
      <c r="C845">
        <v>35</v>
      </c>
      <c r="D845">
        <v>5000.8999999999996</v>
      </c>
      <c r="E845" s="19">
        <v>45084</v>
      </c>
      <c r="F845">
        <v>4727</v>
      </c>
      <c r="G845" s="19">
        <v>45133</v>
      </c>
      <c r="H845">
        <v>-5.4770141374552512</v>
      </c>
    </row>
    <row r="846" spans="1:8" x14ac:dyDescent="0.25">
      <c r="A846" t="s">
        <v>125</v>
      </c>
      <c r="B846" t="s">
        <v>383</v>
      </c>
      <c r="C846">
        <v>144</v>
      </c>
      <c r="D846">
        <v>5977.85</v>
      </c>
      <c r="E846" s="19">
        <v>44869</v>
      </c>
      <c r="F846">
        <v>4769.6499999999996</v>
      </c>
      <c r="G846" s="19">
        <v>45082</v>
      </c>
      <c r="H846">
        <v>20.211279975241951</v>
      </c>
    </row>
    <row r="847" spans="1:8" x14ac:dyDescent="0.25">
      <c r="A847" t="s">
        <v>126</v>
      </c>
      <c r="B847" t="s">
        <v>383</v>
      </c>
      <c r="C847">
        <v>45</v>
      </c>
      <c r="D847">
        <v>377.2</v>
      </c>
      <c r="E847" s="19">
        <v>45595</v>
      </c>
      <c r="F847">
        <v>341.8</v>
      </c>
      <c r="G847" s="19">
        <v>45660</v>
      </c>
      <c r="H847">
        <v>9.3849416755037058</v>
      </c>
    </row>
    <row r="848" spans="1:8" x14ac:dyDescent="0.25">
      <c r="A848" t="s">
        <v>126</v>
      </c>
      <c r="B848" t="s">
        <v>385</v>
      </c>
      <c r="C848">
        <v>32</v>
      </c>
      <c r="D848">
        <v>404.5</v>
      </c>
      <c r="E848" s="19">
        <v>45547</v>
      </c>
      <c r="F848">
        <v>368.1</v>
      </c>
      <c r="G848" s="19">
        <v>45593</v>
      </c>
      <c r="H848">
        <v>-8.9987639060568547</v>
      </c>
    </row>
    <row r="849" spans="1:8" x14ac:dyDescent="0.25">
      <c r="A849" t="s">
        <v>126</v>
      </c>
      <c r="B849" t="s">
        <v>383</v>
      </c>
      <c r="C849">
        <v>19</v>
      </c>
      <c r="D849">
        <v>351.7</v>
      </c>
      <c r="E849" s="19">
        <v>45518</v>
      </c>
      <c r="F849">
        <v>375.25</v>
      </c>
      <c r="G849" s="19">
        <v>45545</v>
      </c>
      <c r="H849">
        <v>-6.6960477679840817</v>
      </c>
    </row>
    <row r="850" spans="1:8" x14ac:dyDescent="0.25">
      <c r="A850" t="s">
        <v>126</v>
      </c>
      <c r="B850" t="s">
        <v>385</v>
      </c>
      <c r="C850">
        <v>9</v>
      </c>
      <c r="D850">
        <v>381.6</v>
      </c>
      <c r="E850" s="19">
        <v>45504</v>
      </c>
      <c r="F850">
        <v>367.6</v>
      </c>
      <c r="G850" s="19">
        <v>45516</v>
      </c>
      <c r="H850">
        <v>-3.6687631027253671</v>
      </c>
    </row>
    <row r="851" spans="1:8" x14ac:dyDescent="0.25">
      <c r="A851" t="s">
        <v>126</v>
      </c>
      <c r="B851" t="s">
        <v>383</v>
      </c>
      <c r="C851">
        <v>3</v>
      </c>
      <c r="D851">
        <v>369.7</v>
      </c>
      <c r="E851" s="19">
        <v>45498</v>
      </c>
      <c r="F851">
        <v>378.05</v>
      </c>
      <c r="G851" s="19">
        <v>45502</v>
      </c>
      <c r="H851">
        <v>-2.2585880443602981</v>
      </c>
    </row>
    <row r="852" spans="1:8" x14ac:dyDescent="0.25">
      <c r="A852" t="s">
        <v>126</v>
      </c>
      <c r="B852" t="s">
        <v>385</v>
      </c>
      <c r="C852">
        <v>20</v>
      </c>
      <c r="D852">
        <v>389.1</v>
      </c>
      <c r="E852" s="19">
        <v>45468</v>
      </c>
      <c r="F852">
        <v>361.7</v>
      </c>
      <c r="G852" s="19">
        <v>45496</v>
      </c>
      <c r="H852">
        <v>-7.0418915445900883</v>
      </c>
    </row>
    <row r="853" spans="1:8" x14ac:dyDescent="0.25">
      <c r="A853" t="s">
        <v>126</v>
      </c>
      <c r="B853" t="s">
        <v>383</v>
      </c>
      <c r="C853">
        <v>33</v>
      </c>
      <c r="D853">
        <v>361.7</v>
      </c>
      <c r="E853" s="19">
        <v>45419</v>
      </c>
      <c r="F853">
        <v>390.15</v>
      </c>
      <c r="G853" s="19">
        <v>45464</v>
      </c>
      <c r="H853">
        <v>-7.8656345037323714</v>
      </c>
    </row>
    <row r="854" spans="1:8" x14ac:dyDescent="0.25">
      <c r="A854" t="s">
        <v>126</v>
      </c>
      <c r="B854" t="s">
        <v>385</v>
      </c>
      <c r="C854">
        <v>13</v>
      </c>
      <c r="D854">
        <v>376.35</v>
      </c>
      <c r="E854" s="19">
        <v>45397</v>
      </c>
      <c r="F854">
        <v>372.6</v>
      </c>
      <c r="G854" s="19">
        <v>45415</v>
      </c>
      <c r="H854">
        <v>-0.99641291351135908</v>
      </c>
    </row>
    <row r="855" spans="1:8" x14ac:dyDescent="0.25">
      <c r="A855" t="s">
        <v>126</v>
      </c>
      <c r="B855" t="s">
        <v>383</v>
      </c>
      <c r="C855">
        <v>12</v>
      </c>
      <c r="D855">
        <v>382.95</v>
      </c>
      <c r="E855" s="19">
        <v>45373</v>
      </c>
      <c r="F855">
        <v>384.3</v>
      </c>
      <c r="G855" s="19">
        <v>45392</v>
      </c>
      <c r="H855">
        <v>-0.35252643948296719</v>
      </c>
    </row>
    <row r="856" spans="1:8" x14ac:dyDescent="0.25">
      <c r="A856" t="s">
        <v>126</v>
      </c>
      <c r="B856" t="s">
        <v>385</v>
      </c>
      <c r="C856">
        <v>27</v>
      </c>
      <c r="D856">
        <v>390.6</v>
      </c>
      <c r="E856" s="19">
        <v>45335</v>
      </c>
      <c r="F856">
        <v>339.6</v>
      </c>
      <c r="G856" s="19">
        <v>45371</v>
      </c>
      <c r="H856">
        <v>-13.0568356374808</v>
      </c>
    </row>
    <row r="857" spans="1:8" x14ac:dyDescent="0.25">
      <c r="A857" t="s">
        <v>126</v>
      </c>
      <c r="B857" t="s">
        <v>383</v>
      </c>
      <c r="C857">
        <v>12</v>
      </c>
      <c r="D857">
        <v>325.64999999999998</v>
      </c>
      <c r="E857" s="19">
        <v>45315</v>
      </c>
      <c r="F857">
        <v>374</v>
      </c>
      <c r="G857" s="19">
        <v>45331</v>
      </c>
      <c r="H857">
        <v>-14.847228619683721</v>
      </c>
    </row>
    <row r="858" spans="1:8" x14ac:dyDescent="0.25">
      <c r="A858" t="s">
        <v>126</v>
      </c>
      <c r="B858" t="s">
        <v>385</v>
      </c>
      <c r="C858">
        <v>47</v>
      </c>
      <c r="D858">
        <v>329.35</v>
      </c>
      <c r="E858" s="19">
        <v>45245</v>
      </c>
      <c r="F858">
        <v>334.3</v>
      </c>
      <c r="G858" s="19">
        <v>45311</v>
      </c>
      <c r="H858">
        <v>1.502960376499161</v>
      </c>
    </row>
    <row r="859" spans="1:8" x14ac:dyDescent="0.25">
      <c r="A859" t="s">
        <v>126</v>
      </c>
      <c r="B859" t="s">
        <v>383</v>
      </c>
      <c r="C859">
        <v>10</v>
      </c>
      <c r="D859">
        <v>297.75</v>
      </c>
      <c r="E859" s="19">
        <v>45230</v>
      </c>
      <c r="F859">
        <v>323.25</v>
      </c>
      <c r="G859" s="19">
        <v>45242</v>
      </c>
      <c r="H859">
        <v>-8.5642317380352644</v>
      </c>
    </row>
    <row r="860" spans="1:8" x14ac:dyDescent="0.25">
      <c r="A860" t="s">
        <v>126</v>
      </c>
      <c r="B860" t="s">
        <v>385</v>
      </c>
      <c r="C860">
        <v>39</v>
      </c>
      <c r="D860">
        <v>312.10000000000002</v>
      </c>
      <c r="E860" s="19">
        <v>45169</v>
      </c>
      <c r="F860">
        <v>298.3</v>
      </c>
      <c r="G860" s="19">
        <v>45226</v>
      </c>
      <c r="H860">
        <v>-4.4216597244472959</v>
      </c>
    </row>
    <row r="861" spans="1:8" x14ac:dyDescent="0.25">
      <c r="A861" t="s">
        <v>126</v>
      </c>
      <c r="B861" t="s">
        <v>383</v>
      </c>
      <c r="C861">
        <v>6</v>
      </c>
      <c r="D861">
        <v>280.89999999999998</v>
      </c>
      <c r="E861" s="19">
        <v>45160</v>
      </c>
      <c r="F861">
        <v>304.3</v>
      </c>
      <c r="G861" s="19">
        <v>45167</v>
      </c>
      <c r="H861">
        <v>-8.3303666785332986</v>
      </c>
    </row>
    <row r="862" spans="1:8" x14ac:dyDescent="0.25">
      <c r="A862" t="s">
        <v>126</v>
      </c>
      <c r="B862" t="s">
        <v>385</v>
      </c>
      <c r="C862">
        <v>15</v>
      </c>
      <c r="D862">
        <v>294.89999999999998</v>
      </c>
      <c r="E862" s="19">
        <v>45135</v>
      </c>
      <c r="F862">
        <v>277.25</v>
      </c>
      <c r="G862" s="19">
        <v>45156</v>
      </c>
      <c r="H862">
        <v>-5.9850796880298329</v>
      </c>
    </row>
    <row r="863" spans="1:8" x14ac:dyDescent="0.25">
      <c r="A863" t="s">
        <v>126</v>
      </c>
      <c r="B863" t="s">
        <v>383</v>
      </c>
      <c r="C863">
        <v>4</v>
      </c>
      <c r="D863">
        <v>284.14999999999998</v>
      </c>
      <c r="E863" s="19">
        <v>45128</v>
      </c>
      <c r="F863">
        <v>303.3</v>
      </c>
      <c r="G863" s="19">
        <v>45133</v>
      </c>
      <c r="H863">
        <v>-6.7393982051733357</v>
      </c>
    </row>
    <row r="864" spans="1:8" x14ac:dyDescent="0.25">
      <c r="A864" t="s">
        <v>126</v>
      </c>
      <c r="B864" t="s">
        <v>385</v>
      </c>
      <c r="C864">
        <v>60</v>
      </c>
      <c r="D864">
        <v>240.1</v>
      </c>
      <c r="E864" s="19">
        <v>45041</v>
      </c>
      <c r="F864">
        <v>274.95</v>
      </c>
      <c r="G864" s="19">
        <v>45126</v>
      </c>
      <c r="H864">
        <v>14.51478550603915</v>
      </c>
    </row>
    <row r="865" spans="1:8" x14ac:dyDescent="0.25">
      <c r="A865" t="s">
        <v>127</v>
      </c>
      <c r="B865" t="s">
        <v>383</v>
      </c>
      <c r="C865">
        <v>88</v>
      </c>
      <c r="D865">
        <v>1440.45</v>
      </c>
      <c r="E865" s="19">
        <v>45533</v>
      </c>
      <c r="F865">
        <v>1154.3499999999999</v>
      </c>
      <c r="G865" s="19">
        <v>45660</v>
      </c>
      <c r="H865">
        <v>19.861848727828121</v>
      </c>
    </row>
    <row r="866" spans="1:8" x14ac:dyDescent="0.25">
      <c r="A866" t="s">
        <v>127</v>
      </c>
      <c r="B866" t="s">
        <v>385</v>
      </c>
      <c r="C866">
        <v>89</v>
      </c>
      <c r="D866">
        <v>970.45</v>
      </c>
      <c r="E866" s="19">
        <v>45401</v>
      </c>
      <c r="F866">
        <v>1482.7</v>
      </c>
      <c r="G866" s="19">
        <v>45531</v>
      </c>
      <c r="H866">
        <v>52.784790561079909</v>
      </c>
    </row>
    <row r="867" spans="1:8" x14ac:dyDescent="0.25">
      <c r="A867" t="s">
        <v>127</v>
      </c>
      <c r="B867" t="s">
        <v>383</v>
      </c>
      <c r="C867">
        <v>38</v>
      </c>
      <c r="D867">
        <v>993.5</v>
      </c>
      <c r="E867" s="19">
        <v>45342</v>
      </c>
      <c r="F867">
        <v>984</v>
      </c>
      <c r="G867" s="19">
        <v>45398</v>
      </c>
      <c r="H867">
        <v>0.9562154001006542</v>
      </c>
    </row>
    <row r="868" spans="1:8" x14ac:dyDescent="0.25">
      <c r="A868" t="s">
        <v>127</v>
      </c>
      <c r="B868" t="s">
        <v>385</v>
      </c>
      <c r="C868">
        <v>49</v>
      </c>
      <c r="D868">
        <v>1032.1500000000001</v>
      </c>
      <c r="E868" s="19">
        <v>45268</v>
      </c>
      <c r="F868">
        <v>999.05</v>
      </c>
      <c r="G868" s="19">
        <v>45338</v>
      </c>
      <c r="H868">
        <v>-3.206898222157645</v>
      </c>
    </row>
    <row r="869" spans="1:8" x14ac:dyDescent="0.25">
      <c r="A869" t="s">
        <v>127</v>
      </c>
      <c r="B869" t="s">
        <v>383</v>
      </c>
      <c r="C869">
        <v>34</v>
      </c>
      <c r="D869">
        <v>921.85</v>
      </c>
      <c r="E869" s="19">
        <v>45217</v>
      </c>
      <c r="F869">
        <v>1050.8</v>
      </c>
      <c r="G869" s="19">
        <v>45266</v>
      </c>
      <c r="H869">
        <v>-13.98817595053424</v>
      </c>
    </row>
    <row r="870" spans="1:8" x14ac:dyDescent="0.25">
      <c r="A870" t="s">
        <v>127</v>
      </c>
      <c r="B870" t="s">
        <v>385</v>
      </c>
      <c r="C870">
        <v>63</v>
      </c>
      <c r="D870">
        <v>862.2</v>
      </c>
      <c r="E870" s="19">
        <v>45124</v>
      </c>
      <c r="F870">
        <v>964.8</v>
      </c>
      <c r="G870" s="19">
        <v>45215</v>
      </c>
      <c r="H870">
        <v>11.89979123173276</v>
      </c>
    </row>
    <row r="871" spans="1:8" x14ac:dyDescent="0.25">
      <c r="A871" t="s">
        <v>127</v>
      </c>
      <c r="B871" t="s">
        <v>383</v>
      </c>
      <c r="C871">
        <v>24</v>
      </c>
      <c r="D871">
        <v>801.8</v>
      </c>
      <c r="E871" s="19">
        <v>45086</v>
      </c>
      <c r="F871">
        <v>865</v>
      </c>
      <c r="G871" s="19">
        <v>45120</v>
      </c>
      <c r="H871">
        <v>-7.8822649039660826</v>
      </c>
    </row>
    <row r="872" spans="1:8" x14ac:dyDescent="0.25">
      <c r="A872" t="s">
        <v>127</v>
      </c>
      <c r="B872" t="s">
        <v>385</v>
      </c>
      <c r="C872">
        <v>225</v>
      </c>
      <c r="D872">
        <v>416.3</v>
      </c>
      <c r="E872" s="19">
        <v>44753</v>
      </c>
      <c r="F872">
        <v>798.75</v>
      </c>
      <c r="G872" s="19">
        <v>45084</v>
      </c>
      <c r="H872">
        <v>91.868844583233241</v>
      </c>
    </row>
    <row r="873" spans="1:8" x14ac:dyDescent="0.25">
      <c r="A873" t="s">
        <v>128</v>
      </c>
      <c r="B873" t="s">
        <v>385</v>
      </c>
      <c r="C873">
        <v>135</v>
      </c>
      <c r="D873">
        <v>205.87</v>
      </c>
      <c r="E873" s="19">
        <v>45464</v>
      </c>
      <c r="F873">
        <v>401.25</v>
      </c>
      <c r="G873" s="19">
        <v>45660</v>
      </c>
      <c r="H873">
        <v>94.904551415942095</v>
      </c>
    </row>
    <row r="874" spans="1:8" x14ac:dyDescent="0.25">
      <c r="A874" t="s">
        <v>128</v>
      </c>
      <c r="B874" t="s">
        <v>383</v>
      </c>
      <c r="C874">
        <v>27</v>
      </c>
      <c r="D874">
        <v>184.05</v>
      </c>
      <c r="E874" s="19">
        <v>45425</v>
      </c>
      <c r="F874">
        <v>198.55</v>
      </c>
      <c r="G874" s="19">
        <v>45462</v>
      </c>
      <c r="H874">
        <v>-7.8782939418636229</v>
      </c>
    </row>
    <row r="875" spans="1:8" x14ac:dyDescent="0.25">
      <c r="A875" t="s">
        <v>128</v>
      </c>
      <c r="B875" t="s">
        <v>385</v>
      </c>
      <c r="C875">
        <v>22</v>
      </c>
      <c r="D875">
        <v>202.3</v>
      </c>
      <c r="E875" s="19">
        <v>45387</v>
      </c>
      <c r="F875">
        <v>185.45</v>
      </c>
      <c r="G875" s="19">
        <v>45421</v>
      </c>
      <c r="H875">
        <v>-8.3292140385566089</v>
      </c>
    </row>
    <row r="876" spans="1:8" x14ac:dyDescent="0.25">
      <c r="A876" t="s">
        <v>128</v>
      </c>
      <c r="B876" t="s">
        <v>383</v>
      </c>
      <c r="C876">
        <v>9</v>
      </c>
      <c r="D876">
        <v>186.95</v>
      </c>
      <c r="E876" s="19">
        <v>45371</v>
      </c>
      <c r="F876">
        <v>202.05</v>
      </c>
      <c r="G876" s="19">
        <v>45385</v>
      </c>
      <c r="H876">
        <v>-8.0770259427654576</v>
      </c>
    </row>
    <row r="877" spans="1:8" x14ac:dyDescent="0.25">
      <c r="A877" t="s">
        <v>128</v>
      </c>
      <c r="B877" t="s">
        <v>385</v>
      </c>
      <c r="C877">
        <v>228</v>
      </c>
      <c r="D877">
        <v>115</v>
      </c>
      <c r="E877" s="19">
        <v>45037</v>
      </c>
      <c r="F877">
        <v>190.2</v>
      </c>
      <c r="G877" s="19">
        <v>45369</v>
      </c>
      <c r="H877">
        <v>65.391304347826079</v>
      </c>
    </row>
    <row r="878" spans="1:8" x14ac:dyDescent="0.25">
      <c r="A878" t="s">
        <v>129</v>
      </c>
      <c r="B878" t="s">
        <v>383</v>
      </c>
      <c r="C878">
        <v>77</v>
      </c>
      <c r="D878">
        <v>660.1</v>
      </c>
      <c r="E878" s="19">
        <v>45548</v>
      </c>
      <c r="F878">
        <v>567</v>
      </c>
      <c r="G878" s="19">
        <v>45660</v>
      </c>
      <c r="H878">
        <v>14.103923647932129</v>
      </c>
    </row>
    <row r="879" spans="1:8" x14ac:dyDescent="0.25">
      <c r="A879" t="s">
        <v>129</v>
      </c>
      <c r="B879" t="s">
        <v>385</v>
      </c>
      <c r="C879">
        <v>4</v>
      </c>
      <c r="D879">
        <v>680.55</v>
      </c>
      <c r="E879" s="19">
        <v>45541</v>
      </c>
      <c r="F879">
        <v>655.35</v>
      </c>
      <c r="G879" s="19">
        <v>45546</v>
      </c>
      <c r="H879">
        <v>-3.7028873705091372</v>
      </c>
    </row>
    <row r="880" spans="1:8" x14ac:dyDescent="0.25">
      <c r="A880" t="s">
        <v>129</v>
      </c>
      <c r="B880" t="s">
        <v>383</v>
      </c>
      <c r="C880">
        <v>20</v>
      </c>
      <c r="D880">
        <v>666.45</v>
      </c>
      <c r="E880" s="19">
        <v>45511</v>
      </c>
      <c r="F880">
        <v>695.9</v>
      </c>
      <c r="G880" s="19">
        <v>45539</v>
      </c>
      <c r="H880">
        <v>-4.4189361542501207</v>
      </c>
    </row>
    <row r="881" spans="1:8" x14ac:dyDescent="0.25">
      <c r="A881" t="s">
        <v>129</v>
      </c>
      <c r="B881" t="s">
        <v>385</v>
      </c>
      <c r="C881">
        <v>33</v>
      </c>
      <c r="D881">
        <v>696.95</v>
      </c>
      <c r="E881" s="19">
        <v>45462</v>
      </c>
      <c r="F881">
        <v>649.15</v>
      </c>
      <c r="G881" s="19">
        <v>45509</v>
      </c>
      <c r="H881">
        <v>-6.8584546954587946</v>
      </c>
    </row>
    <row r="882" spans="1:8" x14ac:dyDescent="0.25">
      <c r="A882" t="s">
        <v>129</v>
      </c>
      <c r="B882" t="s">
        <v>383</v>
      </c>
      <c r="C882">
        <v>24</v>
      </c>
      <c r="D882">
        <v>657.05</v>
      </c>
      <c r="E882" s="19">
        <v>45426</v>
      </c>
      <c r="F882">
        <v>683.8</v>
      </c>
      <c r="G882" s="19">
        <v>45457</v>
      </c>
      <c r="H882">
        <v>-4.0712274560535731</v>
      </c>
    </row>
    <row r="883" spans="1:8" x14ac:dyDescent="0.25">
      <c r="A883" t="s">
        <v>129</v>
      </c>
      <c r="B883" t="s">
        <v>385</v>
      </c>
      <c r="C883">
        <v>18</v>
      </c>
      <c r="D883">
        <v>683.5</v>
      </c>
      <c r="E883" s="19">
        <v>45397</v>
      </c>
      <c r="F883">
        <v>645.75</v>
      </c>
      <c r="G883" s="19">
        <v>45422</v>
      </c>
      <c r="H883">
        <v>-5.5230431602048284</v>
      </c>
    </row>
    <row r="884" spans="1:8" x14ac:dyDescent="0.25">
      <c r="A884" t="s">
        <v>129</v>
      </c>
      <c r="B884" t="s">
        <v>383</v>
      </c>
      <c r="C884">
        <v>42</v>
      </c>
      <c r="D884">
        <v>671.7</v>
      </c>
      <c r="E884" s="19">
        <v>45331</v>
      </c>
      <c r="F884">
        <v>708.5</v>
      </c>
      <c r="G884" s="19">
        <v>45392</v>
      </c>
      <c r="H884">
        <v>-5.4786362959654538</v>
      </c>
    </row>
    <row r="885" spans="1:8" x14ac:dyDescent="0.25">
      <c r="A885" t="s">
        <v>129</v>
      </c>
      <c r="B885" t="s">
        <v>385</v>
      </c>
      <c r="C885">
        <v>107</v>
      </c>
      <c r="D885">
        <v>635.85</v>
      </c>
      <c r="E885" s="19">
        <v>45173</v>
      </c>
      <c r="F885">
        <v>701.2</v>
      </c>
      <c r="G885" s="19">
        <v>45329</v>
      </c>
      <c r="H885">
        <v>10.277581190532359</v>
      </c>
    </row>
    <row r="886" spans="1:8" x14ac:dyDescent="0.25">
      <c r="A886" t="s">
        <v>129</v>
      </c>
      <c r="B886" t="s">
        <v>383</v>
      </c>
      <c r="C886">
        <v>17</v>
      </c>
      <c r="D886">
        <v>548</v>
      </c>
      <c r="E886" s="19">
        <v>45146</v>
      </c>
      <c r="F886">
        <v>609.9</v>
      </c>
      <c r="G886" s="19">
        <v>45169</v>
      </c>
      <c r="H886">
        <v>-11.295620437956201</v>
      </c>
    </row>
    <row r="887" spans="1:8" x14ac:dyDescent="0.25">
      <c r="A887" t="s">
        <v>129</v>
      </c>
      <c r="B887" t="s">
        <v>385</v>
      </c>
      <c r="C887">
        <v>69</v>
      </c>
      <c r="D887">
        <v>588.5</v>
      </c>
      <c r="E887" s="19">
        <v>45044</v>
      </c>
      <c r="F887">
        <v>585.79999999999995</v>
      </c>
      <c r="G887" s="19">
        <v>45142</v>
      </c>
      <c r="H887">
        <v>-0.45879354290570012</v>
      </c>
    </row>
    <row r="888" spans="1:8" x14ac:dyDescent="0.25">
      <c r="A888" t="s">
        <v>130</v>
      </c>
      <c r="B888" t="s">
        <v>383</v>
      </c>
      <c r="C888">
        <v>12</v>
      </c>
      <c r="D888">
        <v>1565</v>
      </c>
      <c r="E888" s="19">
        <v>45644</v>
      </c>
      <c r="F888">
        <v>1448.7</v>
      </c>
      <c r="G888" s="19">
        <v>45660</v>
      </c>
      <c r="H888">
        <v>7.4313099041533519</v>
      </c>
    </row>
    <row r="889" spans="1:8" x14ac:dyDescent="0.25">
      <c r="A889" t="s">
        <v>130</v>
      </c>
      <c r="B889" t="s">
        <v>385</v>
      </c>
      <c r="C889">
        <v>8</v>
      </c>
      <c r="D889">
        <v>1634.75</v>
      </c>
      <c r="E889" s="19">
        <v>45631</v>
      </c>
      <c r="F889">
        <v>1584.2</v>
      </c>
      <c r="G889" s="19">
        <v>45642</v>
      </c>
      <c r="H889">
        <v>-3.0922159351582779</v>
      </c>
    </row>
    <row r="890" spans="1:8" x14ac:dyDescent="0.25">
      <c r="A890" t="s">
        <v>130</v>
      </c>
      <c r="B890" t="s">
        <v>383</v>
      </c>
      <c r="C890">
        <v>29</v>
      </c>
      <c r="D890">
        <v>1534.25</v>
      </c>
      <c r="E890" s="19">
        <v>45587</v>
      </c>
      <c r="F890">
        <v>1641</v>
      </c>
      <c r="G890" s="19">
        <v>45629</v>
      </c>
      <c r="H890">
        <v>-6.9577969692031933</v>
      </c>
    </row>
    <row r="891" spans="1:8" x14ac:dyDescent="0.25">
      <c r="A891" t="s">
        <v>130</v>
      </c>
      <c r="B891" t="s">
        <v>385</v>
      </c>
      <c r="C891">
        <v>19</v>
      </c>
      <c r="D891">
        <v>1665.95</v>
      </c>
      <c r="E891" s="19">
        <v>45558</v>
      </c>
      <c r="F891">
        <v>1624.7</v>
      </c>
      <c r="G891" s="19">
        <v>45583</v>
      </c>
      <c r="H891">
        <v>-2.4760647078243641</v>
      </c>
    </row>
    <row r="892" spans="1:8" x14ac:dyDescent="0.25">
      <c r="A892" t="s">
        <v>130</v>
      </c>
      <c r="B892" t="s">
        <v>383</v>
      </c>
      <c r="C892">
        <v>25</v>
      </c>
      <c r="D892">
        <v>1604.5</v>
      </c>
      <c r="E892" s="19">
        <v>45520</v>
      </c>
      <c r="F892">
        <v>1623.9</v>
      </c>
      <c r="G892" s="19">
        <v>45554</v>
      </c>
      <c r="H892">
        <v>-1.209099407915244</v>
      </c>
    </row>
    <row r="893" spans="1:8" x14ac:dyDescent="0.25">
      <c r="A893" t="s">
        <v>130</v>
      </c>
      <c r="B893" t="s">
        <v>385</v>
      </c>
      <c r="C893">
        <v>133</v>
      </c>
      <c r="D893">
        <v>1214.95</v>
      </c>
      <c r="E893" s="19">
        <v>45322</v>
      </c>
      <c r="F893">
        <v>1571.9</v>
      </c>
      <c r="G893" s="19">
        <v>45517</v>
      </c>
      <c r="H893">
        <v>29.37980986871888</v>
      </c>
    </row>
    <row r="894" spans="1:8" x14ac:dyDescent="0.25">
      <c r="A894" t="s">
        <v>130</v>
      </c>
      <c r="B894" t="s">
        <v>383</v>
      </c>
      <c r="C894">
        <v>16</v>
      </c>
      <c r="D894">
        <v>1105.0999999999999</v>
      </c>
      <c r="E894" s="19">
        <v>45296</v>
      </c>
      <c r="F894">
        <v>1184.5</v>
      </c>
      <c r="G894" s="19">
        <v>45320</v>
      </c>
      <c r="H894">
        <v>-7.1848701474979721</v>
      </c>
    </row>
    <row r="895" spans="1:8" x14ac:dyDescent="0.25">
      <c r="A895" t="s">
        <v>130</v>
      </c>
      <c r="B895" t="s">
        <v>385</v>
      </c>
      <c r="C895">
        <v>12</v>
      </c>
      <c r="D895">
        <v>1247.7</v>
      </c>
      <c r="E895" s="19">
        <v>45278</v>
      </c>
      <c r="F895">
        <v>1096.8499999999999</v>
      </c>
      <c r="G895" s="19">
        <v>45294</v>
      </c>
      <c r="H895">
        <v>-12.090246052737051</v>
      </c>
    </row>
    <row r="896" spans="1:8" x14ac:dyDescent="0.25">
      <c r="A896" t="s">
        <v>130</v>
      </c>
      <c r="B896" t="s">
        <v>383</v>
      </c>
      <c r="C896">
        <v>62</v>
      </c>
      <c r="D896">
        <v>1215.25</v>
      </c>
      <c r="E896" s="19">
        <v>45183</v>
      </c>
      <c r="F896">
        <v>1210</v>
      </c>
      <c r="G896" s="19">
        <v>45274</v>
      </c>
      <c r="H896">
        <v>0.43200987451141742</v>
      </c>
    </row>
    <row r="897" spans="1:8" x14ac:dyDescent="0.25">
      <c r="A897" t="s">
        <v>130</v>
      </c>
      <c r="B897" t="s">
        <v>385</v>
      </c>
      <c r="C897">
        <v>80</v>
      </c>
      <c r="D897">
        <v>1090.95</v>
      </c>
      <c r="E897" s="19">
        <v>45068</v>
      </c>
      <c r="F897">
        <v>1243.25</v>
      </c>
      <c r="G897" s="19">
        <v>45181</v>
      </c>
      <c r="H897">
        <v>13.960309821715009</v>
      </c>
    </row>
    <row r="898" spans="1:8" x14ac:dyDescent="0.25">
      <c r="A898" t="s">
        <v>130</v>
      </c>
      <c r="B898" t="s">
        <v>383</v>
      </c>
      <c r="C898">
        <v>67</v>
      </c>
      <c r="D898">
        <v>1153.7</v>
      </c>
      <c r="E898" s="19">
        <v>44964</v>
      </c>
      <c r="F898">
        <v>1081.95</v>
      </c>
      <c r="G898" s="19">
        <v>45064</v>
      </c>
      <c r="H898">
        <v>6.2191210886712316</v>
      </c>
    </row>
    <row r="899" spans="1:8" x14ac:dyDescent="0.25">
      <c r="A899" t="s">
        <v>131</v>
      </c>
      <c r="B899" t="s">
        <v>383</v>
      </c>
      <c r="C899">
        <v>6</v>
      </c>
      <c r="D899">
        <v>200.59</v>
      </c>
      <c r="E899" s="19">
        <v>45653</v>
      </c>
      <c r="F899">
        <v>205.62</v>
      </c>
      <c r="G899" s="19">
        <v>45660</v>
      </c>
      <c r="H899">
        <v>-2.5076025724113871</v>
      </c>
    </row>
    <row r="900" spans="1:8" x14ac:dyDescent="0.25">
      <c r="A900" t="s">
        <v>131</v>
      </c>
      <c r="B900" t="s">
        <v>385</v>
      </c>
      <c r="C900">
        <v>12</v>
      </c>
      <c r="D900">
        <v>218.85</v>
      </c>
      <c r="E900" s="19">
        <v>45635</v>
      </c>
      <c r="F900">
        <v>203.82</v>
      </c>
      <c r="G900" s="19">
        <v>45650</v>
      </c>
      <c r="H900">
        <v>-6.8677176148046613</v>
      </c>
    </row>
    <row r="901" spans="1:8" x14ac:dyDescent="0.25">
      <c r="A901" t="s">
        <v>131</v>
      </c>
      <c r="B901" t="s">
        <v>383</v>
      </c>
      <c r="C901">
        <v>82</v>
      </c>
      <c r="D901">
        <v>228.09</v>
      </c>
      <c r="E901" s="19">
        <v>45512</v>
      </c>
      <c r="F901">
        <v>223.06</v>
      </c>
      <c r="G901" s="19">
        <v>45631</v>
      </c>
      <c r="H901">
        <v>2.2052698496207639</v>
      </c>
    </row>
    <row r="902" spans="1:8" x14ac:dyDescent="0.25">
      <c r="A902" t="s">
        <v>131</v>
      </c>
      <c r="B902" t="s">
        <v>385</v>
      </c>
      <c r="C902">
        <v>32</v>
      </c>
      <c r="D902">
        <v>251.62</v>
      </c>
      <c r="E902" s="19">
        <v>45464</v>
      </c>
      <c r="F902">
        <v>221.02</v>
      </c>
      <c r="G902" s="19">
        <v>45510</v>
      </c>
      <c r="H902">
        <v>-12.16119545346157</v>
      </c>
    </row>
    <row r="903" spans="1:8" x14ac:dyDescent="0.25">
      <c r="A903" t="s">
        <v>131</v>
      </c>
      <c r="B903" t="s">
        <v>383</v>
      </c>
      <c r="C903">
        <v>17</v>
      </c>
      <c r="D903">
        <v>223.3</v>
      </c>
      <c r="E903" s="19">
        <v>45439</v>
      </c>
      <c r="F903">
        <v>239.82</v>
      </c>
      <c r="G903" s="19">
        <v>45462</v>
      </c>
      <c r="H903">
        <v>-7.3981191222570448</v>
      </c>
    </row>
    <row r="904" spans="1:8" x14ac:dyDescent="0.25">
      <c r="A904" t="s">
        <v>131</v>
      </c>
      <c r="B904" t="s">
        <v>385</v>
      </c>
      <c r="C904">
        <v>20</v>
      </c>
      <c r="D904">
        <v>249.95</v>
      </c>
      <c r="E904" s="19">
        <v>45407</v>
      </c>
      <c r="F904">
        <v>222.25</v>
      </c>
      <c r="G904" s="19">
        <v>45435</v>
      </c>
      <c r="H904">
        <v>-11.082216443288649</v>
      </c>
    </row>
    <row r="905" spans="1:8" x14ac:dyDescent="0.25">
      <c r="A905" t="s">
        <v>131</v>
      </c>
      <c r="B905" t="s">
        <v>383</v>
      </c>
      <c r="C905">
        <v>40</v>
      </c>
      <c r="D905">
        <v>230.25</v>
      </c>
      <c r="E905" s="19">
        <v>45344</v>
      </c>
      <c r="F905">
        <v>238.3</v>
      </c>
      <c r="G905" s="19">
        <v>45405</v>
      </c>
      <c r="H905">
        <v>-3.4961997828447391</v>
      </c>
    </row>
    <row r="906" spans="1:8" x14ac:dyDescent="0.25">
      <c r="A906" t="s">
        <v>131</v>
      </c>
      <c r="B906" t="s">
        <v>385</v>
      </c>
      <c r="C906">
        <v>119</v>
      </c>
      <c r="D906">
        <v>174.1</v>
      </c>
      <c r="E906" s="19">
        <v>45168</v>
      </c>
      <c r="F906">
        <v>237.25</v>
      </c>
      <c r="G906" s="19">
        <v>45342</v>
      </c>
      <c r="H906">
        <v>36.272257323377367</v>
      </c>
    </row>
    <row r="907" spans="1:8" x14ac:dyDescent="0.25">
      <c r="A907" t="s">
        <v>131</v>
      </c>
      <c r="B907" t="s">
        <v>383</v>
      </c>
      <c r="C907">
        <v>11</v>
      </c>
      <c r="D907">
        <v>153</v>
      </c>
      <c r="E907" s="19">
        <v>45149</v>
      </c>
      <c r="F907">
        <v>171.5</v>
      </c>
      <c r="G907" s="19">
        <v>45166</v>
      </c>
      <c r="H907">
        <v>-12.091503267973859</v>
      </c>
    </row>
    <row r="908" spans="1:8" x14ac:dyDescent="0.25">
      <c r="A908" t="s">
        <v>131</v>
      </c>
      <c r="B908" t="s">
        <v>385</v>
      </c>
      <c r="C908">
        <v>73</v>
      </c>
      <c r="D908">
        <v>152.30000000000001</v>
      </c>
      <c r="E908" s="19">
        <v>45043</v>
      </c>
      <c r="F908">
        <v>150.80000000000001</v>
      </c>
      <c r="G908" s="19">
        <v>45147</v>
      </c>
      <c r="H908">
        <v>-0.98489822718319098</v>
      </c>
    </row>
    <row r="909" spans="1:8" x14ac:dyDescent="0.25">
      <c r="A909" t="s">
        <v>132</v>
      </c>
      <c r="B909" t="s">
        <v>383</v>
      </c>
      <c r="C909">
        <v>34</v>
      </c>
      <c r="D909">
        <v>2731.8</v>
      </c>
      <c r="E909" s="19">
        <v>45610</v>
      </c>
      <c r="F909">
        <v>2543.9499999999998</v>
      </c>
      <c r="G909" s="19">
        <v>45660</v>
      </c>
      <c r="H909">
        <v>6.8764184786587732</v>
      </c>
    </row>
    <row r="910" spans="1:8" x14ac:dyDescent="0.25">
      <c r="A910" t="s">
        <v>132</v>
      </c>
      <c r="B910" t="s">
        <v>385</v>
      </c>
      <c r="C910">
        <v>3</v>
      </c>
      <c r="D910">
        <v>3015.7</v>
      </c>
      <c r="E910" s="19">
        <v>45604</v>
      </c>
      <c r="F910">
        <v>2873.15</v>
      </c>
      <c r="G910" s="19">
        <v>45608</v>
      </c>
      <c r="H910">
        <v>-4.7269290711940757</v>
      </c>
    </row>
    <row r="911" spans="1:8" x14ac:dyDescent="0.25">
      <c r="A911" t="s">
        <v>132</v>
      </c>
      <c r="B911" t="s">
        <v>383</v>
      </c>
      <c r="C911">
        <v>9</v>
      </c>
      <c r="D911">
        <v>2888.7</v>
      </c>
      <c r="E911" s="19">
        <v>45590</v>
      </c>
      <c r="F911">
        <v>3018.35</v>
      </c>
      <c r="G911" s="19">
        <v>45602</v>
      </c>
      <c r="H911">
        <v>-4.4881780731817118</v>
      </c>
    </row>
    <row r="912" spans="1:8" x14ac:dyDescent="0.25">
      <c r="A912" t="s">
        <v>132</v>
      </c>
      <c r="B912" t="s">
        <v>385</v>
      </c>
      <c r="C912">
        <v>93</v>
      </c>
      <c r="D912">
        <v>2682.95</v>
      </c>
      <c r="E912" s="19">
        <v>45454</v>
      </c>
      <c r="F912">
        <v>2890.15</v>
      </c>
      <c r="G912" s="19">
        <v>45588</v>
      </c>
      <c r="H912">
        <v>7.7228423936338846</v>
      </c>
    </row>
    <row r="913" spans="1:8" x14ac:dyDescent="0.25">
      <c r="A913" t="s">
        <v>132</v>
      </c>
      <c r="B913" t="s">
        <v>383</v>
      </c>
      <c r="C913">
        <v>7</v>
      </c>
      <c r="D913">
        <v>2495.3000000000002</v>
      </c>
      <c r="E913" s="19">
        <v>45442</v>
      </c>
      <c r="F913">
        <v>2570.6999999999998</v>
      </c>
      <c r="G913" s="19">
        <v>45450</v>
      </c>
      <c r="H913">
        <v>-3.0216807598284632</v>
      </c>
    </row>
    <row r="914" spans="1:8" x14ac:dyDescent="0.25">
      <c r="A914" t="s">
        <v>132</v>
      </c>
      <c r="B914" t="s">
        <v>385</v>
      </c>
      <c r="C914">
        <v>26</v>
      </c>
      <c r="D914">
        <v>2603.85</v>
      </c>
      <c r="E914" s="19">
        <v>45404</v>
      </c>
      <c r="F914">
        <v>2486.6</v>
      </c>
      <c r="G914" s="19">
        <v>45440</v>
      </c>
      <c r="H914">
        <v>-4.5029475584231049</v>
      </c>
    </row>
    <row r="915" spans="1:8" x14ac:dyDescent="0.25">
      <c r="A915" t="s">
        <v>132</v>
      </c>
      <c r="B915" t="s">
        <v>383</v>
      </c>
      <c r="C915">
        <v>58</v>
      </c>
      <c r="D915">
        <v>2649.3</v>
      </c>
      <c r="E915" s="19">
        <v>45314</v>
      </c>
      <c r="F915">
        <v>2609.8000000000002</v>
      </c>
      <c r="G915" s="19">
        <v>45400</v>
      </c>
      <c r="H915">
        <v>1.4909598761937111</v>
      </c>
    </row>
    <row r="916" spans="1:8" x14ac:dyDescent="0.25">
      <c r="A916" t="s">
        <v>132</v>
      </c>
      <c r="B916" t="s">
        <v>385</v>
      </c>
      <c r="C916">
        <v>7</v>
      </c>
      <c r="D916">
        <v>2798.9</v>
      </c>
      <c r="E916" s="19">
        <v>45302</v>
      </c>
      <c r="F916">
        <v>2726.7</v>
      </c>
      <c r="G916" s="19">
        <v>45310</v>
      </c>
      <c r="H916">
        <v>-2.5795848369002199</v>
      </c>
    </row>
    <row r="917" spans="1:8" x14ac:dyDescent="0.25">
      <c r="A917" t="s">
        <v>132</v>
      </c>
      <c r="B917" t="s">
        <v>383</v>
      </c>
      <c r="C917">
        <v>10</v>
      </c>
      <c r="D917">
        <v>2694</v>
      </c>
      <c r="E917" s="19">
        <v>45287</v>
      </c>
      <c r="F917">
        <v>2790</v>
      </c>
      <c r="G917" s="19">
        <v>45300</v>
      </c>
      <c r="H917">
        <v>-3.563474387527839</v>
      </c>
    </row>
    <row r="918" spans="1:8" x14ac:dyDescent="0.25">
      <c r="A918" t="s">
        <v>132</v>
      </c>
      <c r="B918" t="s">
        <v>385</v>
      </c>
      <c r="C918">
        <v>36</v>
      </c>
      <c r="D918">
        <v>2821.15</v>
      </c>
      <c r="E918" s="19">
        <v>45232</v>
      </c>
      <c r="F918">
        <v>2686.9</v>
      </c>
      <c r="G918" s="19">
        <v>45282</v>
      </c>
      <c r="H918">
        <v>-4.758697694202719</v>
      </c>
    </row>
    <row r="919" spans="1:8" x14ac:dyDescent="0.25">
      <c r="A919" t="s">
        <v>132</v>
      </c>
      <c r="B919" t="s">
        <v>383</v>
      </c>
      <c r="C919">
        <v>3</v>
      </c>
      <c r="D919">
        <v>2595</v>
      </c>
      <c r="E919" s="19">
        <v>45226</v>
      </c>
      <c r="F919">
        <v>2729.75</v>
      </c>
      <c r="G919" s="19">
        <v>45230</v>
      </c>
      <c r="H919">
        <v>-5.1926782273603083</v>
      </c>
    </row>
    <row r="920" spans="1:8" x14ac:dyDescent="0.25">
      <c r="A920" t="s">
        <v>132</v>
      </c>
      <c r="B920" t="s">
        <v>385</v>
      </c>
      <c r="C920">
        <v>3</v>
      </c>
      <c r="D920">
        <v>2677.85</v>
      </c>
      <c r="E920" s="19">
        <v>45219</v>
      </c>
      <c r="F920">
        <v>2596.1</v>
      </c>
      <c r="G920" s="19">
        <v>45224</v>
      </c>
      <c r="H920">
        <v>-3.052822226786414</v>
      </c>
    </row>
    <row r="921" spans="1:8" x14ac:dyDescent="0.25">
      <c r="A921" t="s">
        <v>132</v>
      </c>
      <c r="B921" t="s">
        <v>383</v>
      </c>
      <c r="C921">
        <v>15</v>
      </c>
      <c r="D921">
        <v>2599.5</v>
      </c>
      <c r="E921" s="19">
        <v>45196</v>
      </c>
      <c r="F921">
        <v>2714.6</v>
      </c>
      <c r="G921" s="19">
        <v>45217</v>
      </c>
      <c r="H921">
        <v>-4.4277745720330799</v>
      </c>
    </row>
    <row r="922" spans="1:8" x14ac:dyDescent="0.25">
      <c r="A922" t="s">
        <v>132</v>
      </c>
      <c r="B922" t="s">
        <v>385</v>
      </c>
      <c r="C922">
        <v>110</v>
      </c>
      <c r="D922">
        <v>2463.9</v>
      </c>
      <c r="E922" s="19">
        <v>45035</v>
      </c>
      <c r="F922">
        <v>2610</v>
      </c>
      <c r="G922" s="19">
        <v>45194</v>
      </c>
      <c r="H922">
        <v>5.9296237671983398</v>
      </c>
    </row>
    <row r="923" spans="1:8" x14ac:dyDescent="0.25">
      <c r="A923" t="s">
        <v>133</v>
      </c>
      <c r="B923" t="s">
        <v>383</v>
      </c>
      <c r="C923">
        <v>74</v>
      </c>
      <c r="D923">
        <v>153.06</v>
      </c>
      <c r="E923" s="19">
        <v>45553</v>
      </c>
      <c r="F923">
        <v>134.61000000000001</v>
      </c>
      <c r="G923" s="19">
        <v>45660</v>
      </c>
      <c r="H923">
        <v>12.054096432771461</v>
      </c>
    </row>
    <row r="924" spans="1:8" x14ac:dyDescent="0.25">
      <c r="A924" t="s">
        <v>133</v>
      </c>
      <c r="B924" t="s">
        <v>385</v>
      </c>
      <c r="C924">
        <v>40</v>
      </c>
      <c r="D924">
        <v>160.77000000000001</v>
      </c>
      <c r="E924" s="19">
        <v>45495</v>
      </c>
      <c r="F924">
        <v>156.49</v>
      </c>
      <c r="G924" s="19">
        <v>45551</v>
      </c>
      <c r="H924">
        <v>-2.6621882191951238</v>
      </c>
    </row>
    <row r="925" spans="1:8" x14ac:dyDescent="0.25">
      <c r="A925" t="s">
        <v>133</v>
      </c>
      <c r="B925" t="s">
        <v>383</v>
      </c>
      <c r="C925">
        <v>67</v>
      </c>
      <c r="D925">
        <v>177.8</v>
      </c>
      <c r="E925" s="19">
        <v>45392</v>
      </c>
      <c r="F925">
        <v>164.23</v>
      </c>
      <c r="G925" s="19">
        <v>45491</v>
      </c>
      <c r="H925">
        <v>7.6321709786276841</v>
      </c>
    </row>
    <row r="926" spans="1:8" x14ac:dyDescent="0.25">
      <c r="A926" t="s">
        <v>133</v>
      </c>
      <c r="B926" t="s">
        <v>385</v>
      </c>
      <c r="C926">
        <v>54</v>
      </c>
      <c r="D926">
        <v>165.5</v>
      </c>
      <c r="E926" s="19">
        <v>45310</v>
      </c>
      <c r="F926">
        <v>174.5</v>
      </c>
      <c r="G926" s="19">
        <v>45390</v>
      </c>
      <c r="H926">
        <v>5.4380664652567976</v>
      </c>
    </row>
    <row r="927" spans="1:8" x14ac:dyDescent="0.25">
      <c r="A927" t="s">
        <v>133</v>
      </c>
      <c r="B927" t="s">
        <v>383</v>
      </c>
      <c r="C927">
        <v>3</v>
      </c>
      <c r="D927">
        <v>158.94999999999999</v>
      </c>
      <c r="E927" s="19">
        <v>45306</v>
      </c>
      <c r="F927">
        <v>157.35</v>
      </c>
      <c r="G927" s="19">
        <v>45308</v>
      </c>
      <c r="H927">
        <v>1.006605850896505</v>
      </c>
    </row>
    <row r="928" spans="1:8" x14ac:dyDescent="0.25">
      <c r="A928" t="s">
        <v>133</v>
      </c>
      <c r="B928" t="s">
        <v>385</v>
      </c>
      <c r="C928">
        <v>31</v>
      </c>
      <c r="D928">
        <v>170</v>
      </c>
      <c r="E928" s="19">
        <v>45259</v>
      </c>
      <c r="F928">
        <v>149.65</v>
      </c>
      <c r="G928" s="19">
        <v>45302</v>
      </c>
      <c r="H928">
        <v>-11.970588235294111</v>
      </c>
    </row>
    <row r="929" spans="1:8" x14ac:dyDescent="0.25">
      <c r="A929" t="s">
        <v>133</v>
      </c>
      <c r="B929" t="s">
        <v>383</v>
      </c>
      <c r="C929">
        <v>44</v>
      </c>
      <c r="D929">
        <v>155.44999999999999</v>
      </c>
      <c r="E929" s="19">
        <v>45191</v>
      </c>
      <c r="F929">
        <v>156.15</v>
      </c>
      <c r="G929" s="19">
        <v>45254</v>
      </c>
      <c r="H929">
        <v>-0.45030556449020082</v>
      </c>
    </row>
    <row r="930" spans="1:8" x14ac:dyDescent="0.25">
      <c r="A930" t="s">
        <v>133</v>
      </c>
      <c r="B930" t="s">
        <v>385</v>
      </c>
      <c r="C930">
        <v>40</v>
      </c>
      <c r="D930">
        <v>160.85</v>
      </c>
      <c r="E930" s="19">
        <v>45132</v>
      </c>
      <c r="F930">
        <v>156.19999999999999</v>
      </c>
      <c r="G930" s="19">
        <v>45189</v>
      </c>
      <c r="H930">
        <v>-2.890892135530001</v>
      </c>
    </row>
    <row r="931" spans="1:8" x14ac:dyDescent="0.25">
      <c r="A931" t="s">
        <v>133</v>
      </c>
      <c r="B931" t="s">
        <v>383</v>
      </c>
      <c r="C931">
        <v>49</v>
      </c>
      <c r="D931">
        <v>149.15</v>
      </c>
      <c r="E931" s="19">
        <v>45061</v>
      </c>
      <c r="F931">
        <v>162.5</v>
      </c>
      <c r="G931" s="19">
        <v>45128</v>
      </c>
      <c r="H931">
        <v>-8.9507207509218869</v>
      </c>
    </row>
    <row r="932" spans="1:8" x14ac:dyDescent="0.25">
      <c r="A932" t="s">
        <v>134</v>
      </c>
      <c r="B932" t="s">
        <v>385</v>
      </c>
      <c r="C932">
        <v>55</v>
      </c>
      <c r="D932">
        <v>1029.7</v>
      </c>
      <c r="E932" s="19">
        <v>45581</v>
      </c>
      <c r="F932">
        <v>1278.05</v>
      </c>
      <c r="G932" s="19">
        <v>45660</v>
      </c>
      <c r="H932">
        <v>24.118675342332711</v>
      </c>
    </row>
    <row r="933" spans="1:8" x14ac:dyDescent="0.25">
      <c r="A933" t="s">
        <v>134</v>
      </c>
      <c r="B933" t="s">
        <v>383</v>
      </c>
      <c r="C933">
        <v>46</v>
      </c>
      <c r="D933">
        <v>874.6</v>
      </c>
      <c r="E933" s="19">
        <v>45512</v>
      </c>
      <c r="F933">
        <v>991.9</v>
      </c>
      <c r="G933" s="19">
        <v>45579</v>
      </c>
      <c r="H933">
        <v>-13.411845415046869</v>
      </c>
    </row>
    <row r="934" spans="1:8" x14ac:dyDescent="0.25">
      <c r="A934" t="s">
        <v>134</v>
      </c>
      <c r="B934" t="s">
        <v>385</v>
      </c>
      <c r="C934">
        <v>147</v>
      </c>
      <c r="D934">
        <v>416.85</v>
      </c>
      <c r="E934" s="19">
        <v>45294</v>
      </c>
      <c r="F934">
        <v>842.15</v>
      </c>
      <c r="G934" s="19">
        <v>45510</v>
      </c>
      <c r="H934">
        <v>102.0271080724481</v>
      </c>
    </row>
    <row r="935" spans="1:8" x14ac:dyDescent="0.25">
      <c r="A935" t="s">
        <v>135</v>
      </c>
      <c r="B935" t="s">
        <v>385</v>
      </c>
      <c r="C935">
        <v>79</v>
      </c>
      <c r="D935">
        <v>789.8</v>
      </c>
      <c r="E935" s="19">
        <v>45546</v>
      </c>
      <c r="F935">
        <v>911.4</v>
      </c>
      <c r="G935" s="19">
        <v>45660</v>
      </c>
      <c r="H935">
        <v>15.396302861483919</v>
      </c>
    </row>
    <row r="936" spans="1:8" x14ac:dyDescent="0.25">
      <c r="A936" t="s">
        <v>135</v>
      </c>
      <c r="B936" t="s">
        <v>383</v>
      </c>
      <c r="C936">
        <v>17</v>
      </c>
      <c r="D936">
        <v>740.65</v>
      </c>
      <c r="E936" s="19">
        <v>45520</v>
      </c>
      <c r="F936">
        <v>753.18</v>
      </c>
      <c r="G936" s="19">
        <v>45544</v>
      </c>
      <c r="H936">
        <v>-1.6917572402619281</v>
      </c>
    </row>
    <row r="937" spans="1:8" x14ac:dyDescent="0.25">
      <c r="A937" t="s">
        <v>135</v>
      </c>
      <c r="B937" t="s">
        <v>385</v>
      </c>
      <c r="C937">
        <v>52</v>
      </c>
      <c r="D937">
        <v>709.06</v>
      </c>
      <c r="E937" s="19">
        <v>45442</v>
      </c>
      <c r="F937">
        <v>743.53</v>
      </c>
      <c r="G937" s="19">
        <v>45517</v>
      </c>
      <c r="H937">
        <v>4.8613657518404692</v>
      </c>
    </row>
    <row r="938" spans="1:8" x14ac:dyDescent="0.25">
      <c r="A938" t="s">
        <v>135</v>
      </c>
      <c r="B938" t="s">
        <v>383</v>
      </c>
      <c r="C938">
        <v>50</v>
      </c>
      <c r="D938">
        <v>644.22</v>
      </c>
      <c r="E938" s="19">
        <v>45364</v>
      </c>
      <c r="F938">
        <v>699.96</v>
      </c>
      <c r="G938" s="19">
        <v>45440</v>
      </c>
      <c r="H938">
        <v>-8.6523237403371525</v>
      </c>
    </row>
    <row r="939" spans="1:8" x14ac:dyDescent="0.25">
      <c r="A939" t="s">
        <v>135</v>
      </c>
      <c r="B939" t="s">
        <v>385</v>
      </c>
      <c r="C939">
        <v>74</v>
      </c>
      <c r="D939">
        <v>666.43</v>
      </c>
      <c r="E939" s="19">
        <v>45254</v>
      </c>
      <c r="F939">
        <v>657.29</v>
      </c>
      <c r="G939" s="19">
        <v>45362</v>
      </c>
      <c r="H939">
        <v>-1.371486877841632</v>
      </c>
    </row>
    <row r="940" spans="1:8" x14ac:dyDescent="0.25">
      <c r="A940" t="s">
        <v>135</v>
      </c>
      <c r="B940" t="s">
        <v>383</v>
      </c>
      <c r="C940">
        <v>29</v>
      </c>
      <c r="D940">
        <v>630</v>
      </c>
      <c r="E940" s="19">
        <v>45211</v>
      </c>
      <c r="F940">
        <v>632.80999999999995</v>
      </c>
      <c r="G940" s="19">
        <v>45252</v>
      </c>
      <c r="H940">
        <v>-0.4460317460317374</v>
      </c>
    </row>
    <row r="941" spans="1:8" x14ac:dyDescent="0.25">
      <c r="A941" t="s">
        <v>135</v>
      </c>
      <c r="B941" t="s">
        <v>385</v>
      </c>
      <c r="C941">
        <v>102</v>
      </c>
      <c r="D941">
        <v>595.29999999999995</v>
      </c>
      <c r="E941" s="19">
        <v>45062</v>
      </c>
      <c r="F941">
        <v>630.33000000000004</v>
      </c>
      <c r="G941" s="19">
        <v>45209</v>
      </c>
      <c r="H941">
        <v>5.8844280194859886</v>
      </c>
    </row>
    <row r="942" spans="1:8" x14ac:dyDescent="0.25">
      <c r="A942" t="s">
        <v>136</v>
      </c>
      <c r="B942" t="s">
        <v>383</v>
      </c>
      <c r="C942">
        <v>99</v>
      </c>
      <c r="D942">
        <v>97.34</v>
      </c>
      <c r="E942" s="19">
        <v>45517</v>
      </c>
      <c r="F942">
        <v>82.36</v>
      </c>
      <c r="G942" s="19">
        <v>45660</v>
      </c>
      <c r="H942">
        <v>15.38935689336347</v>
      </c>
    </row>
    <row r="943" spans="1:8" x14ac:dyDescent="0.25">
      <c r="A943" t="s">
        <v>136</v>
      </c>
      <c r="B943" t="s">
        <v>385</v>
      </c>
      <c r="C943">
        <v>26</v>
      </c>
      <c r="D943">
        <v>105.39</v>
      </c>
      <c r="E943" s="19">
        <v>45477</v>
      </c>
      <c r="F943">
        <v>101.08</v>
      </c>
      <c r="G943" s="19">
        <v>45513</v>
      </c>
      <c r="H943">
        <v>-4.0895720656608807</v>
      </c>
    </row>
    <row r="944" spans="1:8" x14ac:dyDescent="0.25">
      <c r="A944" t="s">
        <v>136</v>
      </c>
      <c r="B944" t="s">
        <v>383</v>
      </c>
      <c r="C944">
        <v>24</v>
      </c>
      <c r="D944">
        <v>102.85</v>
      </c>
      <c r="E944" s="19">
        <v>45441</v>
      </c>
      <c r="F944">
        <v>106.36</v>
      </c>
      <c r="G944" s="19">
        <v>45475</v>
      </c>
      <c r="H944">
        <v>-3.4127369956247011</v>
      </c>
    </row>
    <row r="945" spans="1:8" x14ac:dyDescent="0.25">
      <c r="A945" t="s">
        <v>136</v>
      </c>
      <c r="B945" t="s">
        <v>385</v>
      </c>
      <c r="C945">
        <v>5</v>
      </c>
      <c r="D945">
        <v>106.9</v>
      </c>
      <c r="E945" s="19">
        <v>45433</v>
      </c>
      <c r="F945">
        <v>104.55</v>
      </c>
      <c r="G945" s="19">
        <v>45439</v>
      </c>
      <c r="H945">
        <v>-2.1983161833489322</v>
      </c>
    </row>
    <row r="946" spans="1:8" x14ac:dyDescent="0.25">
      <c r="A946" t="s">
        <v>136</v>
      </c>
      <c r="B946" t="s">
        <v>383</v>
      </c>
      <c r="C946">
        <v>8</v>
      </c>
      <c r="D946">
        <v>103.3</v>
      </c>
      <c r="E946" s="19">
        <v>45420</v>
      </c>
      <c r="F946">
        <v>108.8</v>
      </c>
      <c r="G946" s="19">
        <v>45429</v>
      </c>
      <c r="H946">
        <v>-5.3242981606969986</v>
      </c>
    </row>
    <row r="947" spans="1:8" x14ac:dyDescent="0.25">
      <c r="A947" t="s">
        <v>136</v>
      </c>
      <c r="B947" t="s">
        <v>385</v>
      </c>
      <c r="C947">
        <v>17</v>
      </c>
      <c r="D947">
        <v>110.2</v>
      </c>
      <c r="E947" s="19">
        <v>45391</v>
      </c>
      <c r="F947">
        <v>104.4</v>
      </c>
      <c r="G947" s="19">
        <v>45418</v>
      </c>
      <c r="H947">
        <v>-5.2631578947368398</v>
      </c>
    </row>
    <row r="948" spans="1:8" x14ac:dyDescent="0.25">
      <c r="A948" t="s">
        <v>136</v>
      </c>
      <c r="B948" t="s">
        <v>383</v>
      </c>
      <c r="C948">
        <v>18</v>
      </c>
      <c r="D948">
        <v>104.95</v>
      </c>
      <c r="E948" s="19">
        <v>45358</v>
      </c>
      <c r="F948">
        <v>112.85</v>
      </c>
      <c r="G948" s="19">
        <v>45387</v>
      </c>
      <c r="H948">
        <v>-7.5273939971414876</v>
      </c>
    </row>
    <row r="949" spans="1:8" x14ac:dyDescent="0.25">
      <c r="A949" t="s">
        <v>136</v>
      </c>
      <c r="B949" t="s">
        <v>385</v>
      </c>
      <c r="C949">
        <v>200</v>
      </c>
      <c r="D949">
        <v>64</v>
      </c>
      <c r="E949" s="19">
        <v>45068</v>
      </c>
      <c r="F949">
        <v>105.6</v>
      </c>
      <c r="G949" s="19">
        <v>45356</v>
      </c>
      <c r="H949">
        <v>64.999999999999986</v>
      </c>
    </row>
    <row r="950" spans="1:8" x14ac:dyDescent="0.25">
      <c r="A950" t="s">
        <v>136</v>
      </c>
      <c r="B950" t="s">
        <v>383</v>
      </c>
      <c r="C950">
        <v>4</v>
      </c>
      <c r="D950">
        <v>62.1</v>
      </c>
      <c r="E950" s="19">
        <v>45061</v>
      </c>
      <c r="F950">
        <v>63.9</v>
      </c>
      <c r="G950" s="19">
        <v>45064</v>
      </c>
      <c r="H950">
        <v>-2.8985507246376772</v>
      </c>
    </row>
    <row r="951" spans="1:8" x14ac:dyDescent="0.25">
      <c r="A951" t="s">
        <v>137</v>
      </c>
      <c r="B951" t="s">
        <v>383</v>
      </c>
      <c r="C951">
        <v>37</v>
      </c>
      <c r="D951">
        <v>1180.75</v>
      </c>
      <c r="E951" s="19">
        <v>45607</v>
      </c>
      <c r="F951">
        <v>984.7</v>
      </c>
      <c r="G951" s="19">
        <v>45660</v>
      </c>
      <c r="H951">
        <v>16.603853482955738</v>
      </c>
    </row>
    <row r="952" spans="1:8" x14ac:dyDescent="0.25">
      <c r="A952" t="s">
        <v>137</v>
      </c>
      <c r="B952" t="s">
        <v>385</v>
      </c>
      <c r="C952">
        <v>2</v>
      </c>
      <c r="D952">
        <v>1257.95</v>
      </c>
      <c r="E952" s="19">
        <v>45602</v>
      </c>
      <c r="F952">
        <v>1291.5999999999999</v>
      </c>
      <c r="G952" s="19">
        <v>45603</v>
      </c>
      <c r="H952">
        <v>2.6749870821574668</v>
      </c>
    </row>
    <row r="953" spans="1:8" x14ac:dyDescent="0.25">
      <c r="A953" t="s">
        <v>137</v>
      </c>
      <c r="B953" t="s">
        <v>383</v>
      </c>
      <c r="C953">
        <v>32</v>
      </c>
      <c r="D953">
        <v>1206.8499999999999</v>
      </c>
      <c r="E953" s="19">
        <v>45554</v>
      </c>
      <c r="F953">
        <v>1293.45</v>
      </c>
      <c r="G953" s="19">
        <v>45600</v>
      </c>
      <c r="H953">
        <v>-7.1757053486348878</v>
      </c>
    </row>
    <row r="954" spans="1:8" x14ac:dyDescent="0.25">
      <c r="A954" t="s">
        <v>137</v>
      </c>
      <c r="B954" t="s">
        <v>385</v>
      </c>
      <c r="C954">
        <v>198</v>
      </c>
      <c r="D954">
        <v>869.35</v>
      </c>
      <c r="E954" s="19">
        <v>45261</v>
      </c>
      <c r="F954">
        <v>1255.05</v>
      </c>
      <c r="G954" s="19">
        <v>45552</v>
      </c>
      <c r="H954">
        <v>44.366480703974233</v>
      </c>
    </row>
    <row r="955" spans="1:8" x14ac:dyDescent="0.25">
      <c r="A955" t="s">
        <v>137</v>
      </c>
      <c r="B955" t="s">
        <v>383</v>
      </c>
      <c r="C955">
        <v>15</v>
      </c>
      <c r="D955">
        <v>764.55</v>
      </c>
      <c r="E955" s="19">
        <v>45238</v>
      </c>
      <c r="F955">
        <v>812.5</v>
      </c>
      <c r="G955" s="19">
        <v>45259</v>
      </c>
      <c r="H955">
        <v>-6.2716630697796152</v>
      </c>
    </row>
    <row r="956" spans="1:8" x14ac:dyDescent="0.25">
      <c r="A956" t="s">
        <v>137</v>
      </c>
      <c r="B956" t="s">
        <v>385</v>
      </c>
      <c r="C956">
        <v>148</v>
      </c>
      <c r="D956">
        <v>643</v>
      </c>
      <c r="E956" s="19">
        <v>45016</v>
      </c>
      <c r="F956">
        <v>778.65</v>
      </c>
      <c r="G956" s="19">
        <v>45236</v>
      </c>
      <c r="H956">
        <v>21.096423017107309</v>
      </c>
    </row>
    <row r="957" spans="1:8" x14ac:dyDescent="0.25">
      <c r="A957" t="s">
        <v>138</v>
      </c>
      <c r="B957" t="s">
        <v>385</v>
      </c>
      <c r="C957">
        <v>19</v>
      </c>
      <c r="D957">
        <v>673.5</v>
      </c>
      <c r="E957" s="19">
        <v>45635</v>
      </c>
      <c r="F957">
        <v>758.5</v>
      </c>
      <c r="G957" s="19">
        <v>45660</v>
      </c>
      <c r="H957">
        <v>12.620638455827759</v>
      </c>
    </row>
    <row r="958" spans="1:8" x14ac:dyDescent="0.25">
      <c r="A958" t="s">
        <v>138</v>
      </c>
      <c r="B958" t="s">
        <v>383</v>
      </c>
      <c r="C958">
        <v>31</v>
      </c>
      <c r="D958">
        <v>561.9</v>
      </c>
      <c r="E958" s="19">
        <v>45587</v>
      </c>
      <c r="F958">
        <v>631.9</v>
      </c>
      <c r="G958" s="19">
        <v>45631</v>
      </c>
      <c r="H958">
        <v>-12.457732692649939</v>
      </c>
    </row>
    <row r="959" spans="1:8" x14ac:dyDescent="0.25">
      <c r="A959" t="s">
        <v>138</v>
      </c>
      <c r="B959" t="s">
        <v>385</v>
      </c>
      <c r="C959">
        <v>89</v>
      </c>
      <c r="D959">
        <v>524.95000000000005</v>
      </c>
      <c r="E959" s="19">
        <v>45455</v>
      </c>
      <c r="F959">
        <v>602.85</v>
      </c>
      <c r="G959" s="19">
        <v>45583</v>
      </c>
      <c r="H959">
        <v>14.83950852462139</v>
      </c>
    </row>
    <row r="960" spans="1:8" x14ac:dyDescent="0.25">
      <c r="A960" t="s">
        <v>138</v>
      </c>
      <c r="B960" t="s">
        <v>383</v>
      </c>
      <c r="C960">
        <v>1</v>
      </c>
      <c r="D960">
        <v>515.15</v>
      </c>
      <c r="E960" s="19">
        <v>45453</v>
      </c>
      <c r="F960">
        <v>515.15</v>
      </c>
      <c r="G960" s="19">
        <v>45453</v>
      </c>
      <c r="H960">
        <v>0</v>
      </c>
    </row>
    <row r="961" spans="1:8" x14ac:dyDescent="0.25">
      <c r="A961" t="s">
        <v>138</v>
      </c>
      <c r="B961" t="s">
        <v>385</v>
      </c>
      <c r="C961">
        <v>28</v>
      </c>
      <c r="D961">
        <v>529.95000000000005</v>
      </c>
      <c r="E961" s="19">
        <v>45411</v>
      </c>
      <c r="F961">
        <v>480</v>
      </c>
      <c r="G961" s="19">
        <v>45449</v>
      </c>
      <c r="H961">
        <v>-9.4254174922162548</v>
      </c>
    </row>
    <row r="962" spans="1:8" x14ac:dyDescent="0.25">
      <c r="A962" t="s">
        <v>138</v>
      </c>
      <c r="B962" t="s">
        <v>383</v>
      </c>
      <c r="C962">
        <v>53</v>
      </c>
      <c r="D962">
        <v>527.5</v>
      </c>
      <c r="E962" s="19">
        <v>45329</v>
      </c>
      <c r="F962">
        <v>533</v>
      </c>
      <c r="G962" s="19">
        <v>45407</v>
      </c>
      <c r="H962">
        <v>-1.0426540284360191</v>
      </c>
    </row>
    <row r="963" spans="1:8" x14ac:dyDescent="0.25">
      <c r="A963" t="s">
        <v>138</v>
      </c>
      <c r="B963" t="s">
        <v>385</v>
      </c>
      <c r="C963">
        <v>24</v>
      </c>
      <c r="D963">
        <v>610.54999999999995</v>
      </c>
      <c r="E963" s="19">
        <v>45293</v>
      </c>
      <c r="F963">
        <v>532.75</v>
      </c>
      <c r="G963" s="19">
        <v>45327</v>
      </c>
      <c r="H963">
        <v>-12.74260912292195</v>
      </c>
    </row>
    <row r="964" spans="1:8" x14ac:dyDescent="0.25">
      <c r="A964" t="s">
        <v>138</v>
      </c>
      <c r="B964" t="s">
        <v>383</v>
      </c>
      <c r="C964">
        <v>38</v>
      </c>
      <c r="D964">
        <v>567.45000000000005</v>
      </c>
      <c r="E964" s="19">
        <v>45236</v>
      </c>
      <c r="F964">
        <v>581</v>
      </c>
      <c r="G964" s="19">
        <v>45289</v>
      </c>
      <c r="H964">
        <v>-2.3878755837518639</v>
      </c>
    </row>
    <row r="965" spans="1:8" x14ac:dyDescent="0.25">
      <c r="A965" t="s">
        <v>138</v>
      </c>
      <c r="B965" t="s">
        <v>385</v>
      </c>
      <c r="C965">
        <v>92</v>
      </c>
      <c r="D965">
        <v>521.15</v>
      </c>
      <c r="E965" s="19">
        <v>45098</v>
      </c>
      <c r="F965">
        <v>570</v>
      </c>
      <c r="G965" s="19">
        <v>45232</v>
      </c>
      <c r="H965">
        <v>9.373500911445845</v>
      </c>
    </row>
    <row r="966" spans="1:8" x14ac:dyDescent="0.25">
      <c r="A966" t="s">
        <v>138</v>
      </c>
      <c r="B966" t="s">
        <v>383</v>
      </c>
      <c r="C966">
        <v>12</v>
      </c>
      <c r="D966">
        <v>487</v>
      </c>
      <c r="E966" s="19">
        <v>45079</v>
      </c>
      <c r="F966">
        <v>509.4</v>
      </c>
      <c r="G966" s="19">
        <v>45096</v>
      </c>
      <c r="H966">
        <v>-4.5995893223819264</v>
      </c>
    </row>
    <row r="967" spans="1:8" x14ac:dyDescent="0.25">
      <c r="A967" t="s">
        <v>138</v>
      </c>
      <c r="B967" t="s">
        <v>385</v>
      </c>
      <c r="C967">
        <v>10</v>
      </c>
      <c r="D967">
        <v>515.25</v>
      </c>
      <c r="E967" s="19">
        <v>45064</v>
      </c>
      <c r="F967">
        <v>484.35</v>
      </c>
      <c r="G967" s="19">
        <v>45077</v>
      </c>
      <c r="H967">
        <v>-5.9970887918486131</v>
      </c>
    </row>
    <row r="968" spans="1:8" x14ac:dyDescent="0.25">
      <c r="A968" t="s">
        <v>138</v>
      </c>
      <c r="B968" t="s">
        <v>383</v>
      </c>
      <c r="C968">
        <v>128</v>
      </c>
      <c r="D968">
        <v>603.54999999999995</v>
      </c>
      <c r="E968" s="19">
        <v>44874</v>
      </c>
      <c r="F968">
        <v>510.6</v>
      </c>
      <c r="G968" s="19">
        <v>45062</v>
      </c>
      <c r="H968">
        <v>15.400546764973891</v>
      </c>
    </row>
    <row r="969" spans="1:8" x14ac:dyDescent="0.25">
      <c r="A969" t="s">
        <v>139</v>
      </c>
      <c r="B969" t="s">
        <v>385</v>
      </c>
      <c r="C969">
        <v>20</v>
      </c>
      <c r="D969">
        <v>1813.25</v>
      </c>
      <c r="E969" s="19">
        <v>45632</v>
      </c>
      <c r="F969">
        <v>1901.1</v>
      </c>
      <c r="G969" s="19">
        <v>45660</v>
      </c>
      <c r="H969">
        <v>4.8448917689231994</v>
      </c>
    </row>
    <row r="970" spans="1:8" x14ac:dyDescent="0.25">
      <c r="A970" t="s">
        <v>139</v>
      </c>
      <c r="B970" t="s">
        <v>383</v>
      </c>
      <c r="C970">
        <v>67</v>
      </c>
      <c r="D970">
        <v>1849</v>
      </c>
      <c r="E970" s="19">
        <v>45533</v>
      </c>
      <c r="F970">
        <v>1800.85</v>
      </c>
      <c r="G970" s="19">
        <v>45630</v>
      </c>
      <c r="H970">
        <v>2.604110329908063</v>
      </c>
    </row>
    <row r="971" spans="1:8" x14ac:dyDescent="0.25">
      <c r="A971" t="s">
        <v>139</v>
      </c>
      <c r="B971" t="s">
        <v>385</v>
      </c>
      <c r="C971">
        <v>64</v>
      </c>
      <c r="D971">
        <v>1866.4</v>
      </c>
      <c r="E971" s="19">
        <v>45439</v>
      </c>
      <c r="F971">
        <v>1873.3</v>
      </c>
      <c r="G971" s="19">
        <v>45531</v>
      </c>
      <c r="H971">
        <v>0.3696956708101084</v>
      </c>
    </row>
    <row r="972" spans="1:8" x14ac:dyDescent="0.25">
      <c r="A972" t="s">
        <v>139</v>
      </c>
      <c r="B972" t="s">
        <v>383</v>
      </c>
      <c r="C972">
        <v>55</v>
      </c>
      <c r="D972">
        <v>1787.55</v>
      </c>
      <c r="E972" s="19">
        <v>45352</v>
      </c>
      <c r="F972">
        <v>1881.85</v>
      </c>
      <c r="G972" s="19">
        <v>45435</v>
      </c>
      <c r="H972">
        <v>-5.2753769125339129</v>
      </c>
    </row>
    <row r="973" spans="1:8" x14ac:dyDescent="0.25">
      <c r="A973" t="s">
        <v>139</v>
      </c>
      <c r="B973" t="s">
        <v>385</v>
      </c>
      <c r="C973">
        <v>72</v>
      </c>
      <c r="D973">
        <v>1615.25</v>
      </c>
      <c r="E973" s="19">
        <v>45246</v>
      </c>
      <c r="F973">
        <v>1801.8</v>
      </c>
      <c r="G973" s="19">
        <v>45350</v>
      </c>
      <c r="H973">
        <v>11.549295774647881</v>
      </c>
    </row>
    <row r="974" spans="1:8" x14ac:dyDescent="0.25">
      <c r="A974" t="s">
        <v>139</v>
      </c>
      <c r="B974" t="s">
        <v>383</v>
      </c>
      <c r="C974">
        <v>8</v>
      </c>
      <c r="D974">
        <v>1510.5</v>
      </c>
      <c r="E974" s="19">
        <v>45233</v>
      </c>
      <c r="F974">
        <v>1630</v>
      </c>
      <c r="G974" s="19">
        <v>45243</v>
      </c>
      <c r="H974">
        <v>-7.9112876530950018</v>
      </c>
    </row>
    <row r="975" spans="1:8" x14ac:dyDescent="0.25">
      <c r="A975" t="s">
        <v>139</v>
      </c>
      <c r="B975" t="s">
        <v>385</v>
      </c>
      <c r="C975">
        <v>70</v>
      </c>
      <c r="D975">
        <v>1233</v>
      </c>
      <c r="E975" s="19">
        <v>45128</v>
      </c>
      <c r="F975">
        <v>1533.95</v>
      </c>
      <c r="G975" s="19">
        <v>45231</v>
      </c>
      <c r="H975">
        <v>24.40794809407948</v>
      </c>
    </row>
    <row r="976" spans="1:8" x14ac:dyDescent="0.25">
      <c r="A976" t="s">
        <v>139</v>
      </c>
      <c r="B976" t="s">
        <v>383</v>
      </c>
      <c r="C976">
        <v>41</v>
      </c>
      <c r="D976">
        <v>941.4</v>
      </c>
      <c r="E976" s="19">
        <v>45069</v>
      </c>
      <c r="F976">
        <v>1193</v>
      </c>
      <c r="G976" s="19">
        <v>45126</v>
      </c>
      <c r="H976">
        <v>-26.726152538772052</v>
      </c>
    </row>
    <row r="977" spans="1:8" x14ac:dyDescent="0.25">
      <c r="A977" t="s">
        <v>139</v>
      </c>
      <c r="B977" t="s">
        <v>385</v>
      </c>
      <c r="C977">
        <v>14</v>
      </c>
      <c r="D977">
        <v>1375.7</v>
      </c>
      <c r="E977" s="19">
        <v>45048</v>
      </c>
      <c r="F977">
        <v>1065.5999999999999</v>
      </c>
      <c r="G977" s="19">
        <v>45065</v>
      </c>
      <c r="H977">
        <v>-22.541251726393849</v>
      </c>
    </row>
    <row r="978" spans="1:8" x14ac:dyDescent="0.25">
      <c r="A978" t="s">
        <v>140</v>
      </c>
      <c r="B978" t="s">
        <v>383</v>
      </c>
      <c r="C978">
        <v>61</v>
      </c>
      <c r="D978">
        <v>2704.7</v>
      </c>
      <c r="E978" s="19">
        <v>45573</v>
      </c>
      <c r="F978">
        <v>2241.0500000000002</v>
      </c>
      <c r="G978" s="19">
        <v>45660</v>
      </c>
      <c r="H978">
        <v>17.142381779864671</v>
      </c>
    </row>
    <row r="979" spans="1:8" x14ac:dyDescent="0.25">
      <c r="A979" t="s">
        <v>140</v>
      </c>
      <c r="B979" t="s">
        <v>385</v>
      </c>
      <c r="C979">
        <v>105</v>
      </c>
      <c r="D979">
        <v>2043.1</v>
      </c>
      <c r="E979" s="19">
        <v>45419</v>
      </c>
      <c r="F979">
        <v>2751.35</v>
      </c>
      <c r="G979" s="19">
        <v>45569</v>
      </c>
      <c r="H979">
        <v>34.665459350986247</v>
      </c>
    </row>
    <row r="980" spans="1:8" x14ac:dyDescent="0.25">
      <c r="A980" t="s">
        <v>140</v>
      </c>
      <c r="B980" t="s">
        <v>383</v>
      </c>
      <c r="C980">
        <v>32</v>
      </c>
      <c r="D980">
        <v>1969.05</v>
      </c>
      <c r="E980" s="19">
        <v>45365</v>
      </c>
      <c r="F980">
        <v>2095.35</v>
      </c>
      <c r="G980" s="19">
        <v>45415</v>
      </c>
      <c r="H980">
        <v>-6.4142606840862326</v>
      </c>
    </row>
    <row r="981" spans="1:8" x14ac:dyDescent="0.25">
      <c r="A981" t="s">
        <v>140</v>
      </c>
      <c r="B981" t="s">
        <v>385</v>
      </c>
      <c r="C981">
        <v>79</v>
      </c>
      <c r="D981">
        <v>1647.95</v>
      </c>
      <c r="E981" s="19">
        <v>45250</v>
      </c>
      <c r="F981">
        <v>2001.25</v>
      </c>
      <c r="G981" s="19">
        <v>45363</v>
      </c>
      <c r="H981">
        <v>21.438757243848411</v>
      </c>
    </row>
    <row r="982" spans="1:8" x14ac:dyDescent="0.25">
      <c r="A982" t="s">
        <v>140</v>
      </c>
      <c r="B982" t="s">
        <v>383</v>
      </c>
      <c r="C982">
        <v>11</v>
      </c>
      <c r="D982">
        <v>1390.25</v>
      </c>
      <c r="E982" s="19">
        <v>45232</v>
      </c>
      <c r="F982">
        <v>1587.95</v>
      </c>
      <c r="G982" s="19">
        <v>45246</v>
      </c>
      <c r="H982">
        <v>-14.220463945333581</v>
      </c>
    </row>
    <row r="983" spans="1:8" x14ac:dyDescent="0.25">
      <c r="A983" t="s">
        <v>140</v>
      </c>
      <c r="B983" t="s">
        <v>385</v>
      </c>
      <c r="C983">
        <v>111</v>
      </c>
      <c r="D983">
        <v>1311.1</v>
      </c>
      <c r="E983" s="19">
        <v>45069</v>
      </c>
      <c r="F983">
        <v>1423.35</v>
      </c>
      <c r="G983" s="19">
        <v>45230</v>
      </c>
      <c r="H983">
        <v>8.5615132331629926</v>
      </c>
    </row>
    <row r="984" spans="1:8" x14ac:dyDescent="0.25">
      <c r="A984" t="s">
        <v>140</v>
      </c>
      <c r="B984" t="s">
        <v>383</v>
      </c>
      <c r="C984">
        <v>34</v>
      </c>
      <c r="D984">
        <v>1274.75</v>
      </c>
      <c r="E984" s="19">
        <v>45013</v>
      </c>
      <c r="F984">
        <v>1290.45</v>
      </c>
      <c r="G984" s="19">
        <v>45065</v>
      </c>
      <c r="H984">
        <v>-1.2316140419690169</v>
      </c>
    </row>
    <row r="985" spans="1:8" x14ac:dyDescent="0.25">
      <c r="A985" t="s">
        <v>141</v>
      </c>
      <c r="B985" t="s">
        <v>385</v>
      </c>
      <c r="C985">
        <v>23</v>
      </c>
      <c r="D985">
        <v>1138.5999999999999</v>
      </c>
      <c r="E985" s="19">
        <v>45629</v>
      </c>
      <c r="F985">
        <v>1089.0999999999999</v>
      </c>
      <c r="G985" s="19">
        <v>45660</v>
      </c>
      <c r="H985">
        <v>-4.3474442297558413</v>
      </c>
    </row>
    <row r="986" spans="1:8" x14ac:dyDescent="0.25">
      <c r="A986" t="s">
        <v>141</v>
      </c>
      <c r="B986" t="s">
        <v>383</v>
      </c>
      <c r="C986">
        <v>128</v>
      </c>
      <c r="D986">
        <v>1230.0999999999999</v>
      </c>
      <c r="E986" s="19">
        <v>45440</v>
      </c>
      <c r="F986">
        <v>1075.1500000000001</v>
      </c>
      <c r="G986" s="19">
        <v>45625</v>
      </c>
      <c r="H986">
        <v>12.596536866921371</v>
      </c>
    </row>
    <row r="987" spans="1:8" x14ac:dyDescent="0.25">
      <c r="A987" t="s">
        <v>141</v>
      </c>
      <c r="B987" t="s">
        <v>385</v>
      </c>
      <c r="C987">
        <v>314</v>
      </c>
      <c r="D987">
        <v>459.1</v>
      </c>
      <c r="E987" s="19">
        <v>44972</v>
      </c>
      <c r="F987">
        <v>1184.45</v>
      </c>
      <c r="G987" s="19">
        <v>45436</v>
      </c>
      <c r="H987">
        <v>157.9939011108691</v>
      </c>
    </row>
    <row r="988" spans="1:8" x14ac:dyDescent="0.25">
      <c r="A988" t="s">
        <v>142</v>
      </c>
      <c r="B988" t="s">
        <v>383</v>
      </c>
      <c r="C988">
        <v>45</v>
      </c>
      <c r="D988">
        <v>1387.05</v>
      </c>
      <c r="E988" s="19">
        <v>45595</v>
      </c>
      <c r="F988">
        <v>1210.55</v>
      </c>
      <c r="G988" s="19">
        <v>45660</v>
      </c>
      <c r="H988">
        <v>12.724847698352621</v>
      </c>
    </row>
    <row r="989" spans="1:8" x14ac:dyDescent="0.25">
      <c r="A989" t="s">
        <v>142</v>
      </c>
      <c r="B989" t="s">
        <v>385</v>
      </c>
      <c r="C989">
        <v>33</v>
      </c>
      <c r="D989">
        <v>1420.4</v>
      </c>
      <c r="E989" s="19">
        <v>45546</v>
      </c>
      <c r="F989">
        <v>1360.55</v>
      </c>
      <c r="G989" s="19">
        <v>45593</v>
      </c>
      <c r="H989">
        <v>-4.2136018023092179</v>
      </c>
    </row>
    <row r="990" spans="1:8" x14ac:dyDescent="0.25">
      <c r="A990" t="s">
        <v>142</v>
      </c>
      <c r="B990" t="s">
        <v>383</v>
      </c>
      <c r="C990">
        <v>17</v>
      </c>
      <c r="D990">
        <v>1286</v>
      </c>
      <c r="E990" s="19">
        <v>45520</v>
      </c>
      <c r="F990">
        <v>1406.45</v>
      </c>
      <c r="G990" s="19">
        <v>45544</v>
      </c>
      <c r="H990">
        <v>-9.3662519440124452</v>
      </c>
    </row>
    <row r="991" spans="1:8" x14ac:dyDescent="0.25">
      <c r="A991" t="s">
        <v>142</v>
      </c>
      <c r="B991" t="s">
        <v>385</v>
      </c>
      <c r="C991">
        <v>28</v>
      </c>
      <c r="D991">
        <v>1404.6</v>
      </c>
      <c r="E991" s="19">
        <v>45477</v>
      </c>
      <c r="F991">
        <v>1294</v>
      </c>
      <c r="G991" s="19">
        <v>45517</v>
      </c>
      <c r="H991">
        <v>-7.8741278655845024</v>
      </c>
    </row>
    <row r="992" spans="1:8" x14ac:dyDescent="0.25">
      <c r="A992" t="s">
        <v>142</v>
      </c>
      <c r="B992" t="s">
        <v>383</v>
      </c>
      <c r="C992">
        <v>26</v>
      </c>
      <c r="D992">
        <v>1284.1500000000001</v>
      </c>
      <c r="E992" s="19">
        <v>45439</v>
      </c>
      <c r="F992">
        <v>1400.6</v>
      </c>
      <c r="G992" s="19">
        <v>45475</v>
      </c>
      <c r="H992">
        <v>-9.0682552661293307</v>
      </c>
    </row>
    <row r="993" spans="1:8" x14ac:dyDescent="0.25">
      <c r="A993" t="s">
        <v>142</v>
      </c>
      <c r="B993" t="s">
        <v>385</v>
      </c>
      <c r="C993">
        <v>22</v>
      </c>
      <c r="D993">
        <v>1424.6</v>
      </c>
      <c r="E993" s="19">
        <v>45405</v>
      </c>
      <c r="F993">
        <v>1323.05</v>
      </c>
      <c r="G993" s="19">
        <v>45435</v>
      </c>
      <c r="H993">
        <v>-7.1283167204829399</v>
      </c>
    </row>
    <row r="994" spans="1:8" x14ac:dyDescent="0.25">
      <c r="A994" t="s">
        <v>142</v>
      </c>
      <c r="B994" t="s">
        <v>383</v>
      </c>
      <c r="C994">
        <v>104</v>
      </c>
      <c r="D994">
        <v>1606.8</v>
      </c>
      <c r="E994" s="19">
        <v>45247</v>
      </c>
      <c r="F994">
        <v>1412.2</v>
      </c>
      <c r="G994" s="19">
        <v>45401</v>
      </c>
      <c r="H994">
        <v>12.1110281304456</v>
      </c>
    </row>
    <row r="995" spans="1:8" x14ac:dyDescent="0.25">
      <c r="A995" t="s">
        <v>142</v>
      </c>
      <c r="B995" t="s">
        <v>385</v>
      </c>
      <c r="C995">
        <v>63</v>
      </c>
      <c r="D995">
        <v>1510</v>
      </c>
      <c r="E995" s="19">
        <v>45154</v>
      </c>
      <c r="F995">
        <v>1649.7</v>
      </c>
      <c r="G995" s="19">
        <v>45245</v>
      </c>
      <c r="H995">
        <v>9.2516556291390764</v>
      </c>
    </row>
    <row r="996" spans="1:8" x14ac:dyDescent="0.25">
      <c r="A996" t="s">
        <v>142</v>
      </c>
      <c r="B996" t="s">
        <v>383</v>
      </c>
      <c r="C996">
        <v>16</v>
      </c>
      <c r="D996">
        <v>1462</v>
      </c>
      <c r="E996" s="19">
        <v>45128</v>
      </c>
      <c r="F996">
        <v>1587</v>
      </c>
      <c r="G996" s="19">
        <v>45149</v>
      </c>
      <c r="H996">
        <v>-8.5499316005471968</v>
      </c>
    </row>
    <row r="997" spans="1:8" x14ac:dyDescent="0.25">
      <c r="A997" t="s">
        <v>142</v>
      </c>
      <c r="B997" t="s">
        <v>385</v>
      </c>
      <c r="C997">
        <v>18</v>
      </c>
      <c r="D997">
        <v>1474.2</v>
      </c>
      <c r="E997" s="19">
        <v>45100</v>
      </c>
      <c r="F997">
        <v>1463.75</v>
      </c>
      <c r="G997" s="19">
        <v>45126</v>
      </c>
      <c r="H997">
        <v>-0.7088590421923785</v>
      </c>
    </row>
    <row r="998" spans="1:8" x14ac:dyDescent="0.25">
      <c r="A998" t="s">
        <v>142</v>
      </c>
      <c r="B998" t="s">
        <v>383</v>
      </c>
      <c r="C998">
        <v>125</v>
      </c>
      <c r="D998">
        <v>1653.05</v>
      </c>
      <c r="E998" s="19">
        <v>44915</v>
      </c>
      <c r="F998">
        <v>1536.45</v>
      </c>
      <c r="G998" s="19">
        <v>45098</v>
      </c>
      <c r="H998">
        <v>7.0536281419194768</v>
      </c>
    </row>
    <row r="999" spans="1:8" x14ac:dyDescent="0.25">
      <c r="A999" t="s">
        <v>143</v>
      </c>
      <c r="B999" t="s">
        <v>385</v>
      </c>
      <c r="C999">
        <v>20</v>
      </c>
      <c r="D999">
        <v>214.57</v>
      </c>
      <c r="E999" s="19">
        <v>45632</v>
      </c>
      <c r="F999">
        <v>208.5</v>
      </c>
      <c r="G999" s="19">
        <v>45660</v>
      </c>
      <c r="H999">
        <v>-2.8289136412359568</v>
      </c>
    </row>
    <row r="1000" spans="1:8" x14ac:dyDescent="0.25">
      <c r="A1000" t="s">
        <v>143</v>
      </c>
      <c r="B1000" t="s">
        <v>383</v>
      </c>
      <c r="C1000">
        <v>35</v>
      </c>
      <c r="D1000">
        <v>190.15</v>
      </c>
      <c r="E1000" s="19">
        <v>45580</v>
      </c>
      <c r="F1000">
        <v>204.57</v>
      </c>
      <c r="G1000" s="19">
        <v>45630</v>
      </c>
      <c r="H1000">
        <v>-7.5834867210097219</v>
      </c>
    </row>
    <row r="1001" spans="1:8" x14ac:dyDescent="0.25">
      <c r="A1001" t="s">
        <v>143</v>
      </c>
      <c r="B1001" t="s">
        <v>385</v>
      </c>
      <c r="C1001">
        <v>8</v>
      </c>
      <c r="D1001">
        <v>214.09</v>
      </c>
      <c r="E1001" s="19">
        <v>45566</v>
      </c>
      <c r="F1001">
        <v>190.9</v>
      </c>
      <c r="G1001" s="19">
        <v>45576</v>
      </c>
      <c r="H1001">
        <v>-10.831893129057869</v>
      </c>
    </row>
    <row r="1002" spans="1:8" x14ac:dyDescent="0.25">
      <c r="A1002" t="s">
        <v>143</v>
      </c>
      <c r="B1002" t="s">
        <v>383</v>
      </c>
      <c r="C1002">
        <v>27</v>
      </c>
      <c r="D1002">
        <v>191.41</v>
      </c>
      <c r="E1002" s="19">
        <v>45526</v>
      </c>
      <c r="F1002">
        <v>211.11</v>
      </c>
      <c r="G1002" s="19">
        <v>45562</v>
      </c>
      <c r="H1002">
        <v>-10.29204325792802</v>
      </c>
    </row>
    <row r="1003" spans="1:8" x14ac:dyDescent="0.25">
      <c r="A1003" t="s">
        <v>143</v>
      </c>
      <c r="B1003" t="s">
        <v>385</v>
      </c>
      <c r="C1003">
        <v>88</v>
      </c>
      <c r="D1003">
        <v>163.66</v>
      </c>
      <c r="E1003" s="19">
        <v>45394</v>
      </c>
      <c r="F1003">
        <v>192.68</v>
      </c>
      <c r="G1003" s="19">
        <v>45524</v>
      </c>
      <c r="H1003">
        <v>17.731883172430649</v>
      </c>
    </row>
    <row r="1004" spans="1:8" x14ac:dyDescent="0.25">
      <c r="A1004" t="s">
        <v>143</v>
      </c>
      <c r="B1004" t="s">
        <v>383</v>
      </c>
      <c r="C1004">
        <v>16</v>
      </c>
      <c r="D1004">
        <v>139.13999999999999</v>
      </c>
      <c r="E1004" s="19">
        <v>45366</v>
      </c>
      <c r="F1004">
        <v>151.47999999999999</v>
      </c>
      <c r="G1004" s="19">
        <v>45391</v>
      </c>
      <c r="H1004">
        <v>-8.8687652723875274</v>
      </c>
    </row>
    <row r="1005" spans="1:8" x14ac:dyDescent="0.25">
      <c r="A1005" t="s">
        <v>143</v>
      </c>
      <c r="B1005" t="s">
        <v>385</v>
      </c>
      <c r="C1005">
        <v>189</v>
      </c>
      <c r="D1005">
        <v>85.45</v>
      </c>
      <c r="E1005" s="19">
        <v>45090</v>
      </c>
      <c r="F1005">
        <v>138.25</v>
      </c>
      <c r="G1005" s="19">
        <v>45364</v>
      </c>
      <c r="H1005">
        <v>61.790520772381512</v>
      </c>
    </row>
    <row r="1006" spans="1:8" x14ac:dyDescent="0.25">
      <c r="A1006" t="s">
        <v>143</v>
      </c>
      <c r="B1006" t="s">
        <v>383</v>
      </c>
      <c r="C1006">
        <v>10</v>
      </c>
      <c r="D1006">
        <v>72.39</v>
      </c>
      <c r="E1006" s="19">
        <v>45075</v>
      </c>
      <c r="F1006">
        <v>75.7</v>
      </c>
      <c r="G1006" s="19">
        <v>45086</v>
      </c>
      <c r="H1006">
        <v>-4.572454758944609</v>
      </c>
    </row>
    <row r="1007" spans="1:8" x14ac:dyDescent="0.25">
      <c r="A1007" t="s">
        <v>143</v>
      </c>
      <c r="B1007" t="s">
        <v>385</v>
      </c>
      <c r="C1007">
        <v>7</v>
      </c>
      <c r="D1007">
        <v>75.489999999999995</v>
      </c>
      <c r="E1007" s="19">
        <v>45063</v>
      </c>
      <c r="F1007">
        <v>72.349999999999994</v>
      </c>
      <c r="G1007" s="19">
        <v>45071</v>
      </c>
      <c r="H1007">
        <v>-4.1594913233540884</v>
      </c>
    </row>
    <row r="1008" spans="1:8" x14ac:dyDescent="0.25">
      <c r="A1008" t="s">
        <v>144</v>
      </c>
      <c r="B1008" t="s">
        <v>383</v>
      </c>
      <c r="C1008">
        <v>30</v>
      </c>
      <c r="D1008">
        <v>5626.2</v>
      </c>
      <c r="E1008" s="19">
        <v>45618</v>
      </c>
      <c r="F1008">
        <v>5105.8999999999996</v>
      </c>
      <c r="G1008" s="19">
        <v>45660</v>
      </c>
      <c r="H1008">
        <v>9.2478049127297322</v>
      </c>
    </row>
    <row r="1009" spans="1:8" x14ac:dyDescent="0.25">
      <c r="A1009" t="s">
        <v>144</v>
      </c>
      <c r="B1009" t="s">
        <v>385</v>
      </c>
      <c r="C1009">
        <v>218</v>
      </c>
      <c r="D1009">
        <v>2175.25</v>
      </c>
      <c r="E1009" s="19">
        <v>45295</v>
      </c>
      <c r="F1009">
        <v>5985.65</v>
      </c>
      <c r="G1009" s="19">
        <v>45615</v>
      </c>
      <c r="H1009">
        <v>175.1706700379267</v>
      </c>
    </row>
    <row r="1010" spans="1:8" x14ac:dyDescent="0.25">
      <c r="A1010" t="s">
        <v>144</v>
      </c>
      <c r="B1010" t="s">
        <v>383</v>
      </c>
      <c r="C1010">
        <v>28</v>
      </c>
      <c r="D1010">
        <v>2059</v>
      </c>
      <c r="E1010" s="19">
        <v>45252</v>
      </c>
      <c r="F1010">
        <v>2153.25</v>
      </c>
      <c r="G1010" s="19">
        <v>45293</v>
      </c>
      <c r="H1010">
        <v>-4.5774647887323949</v>
      </c>
    </row>
    <row r="1011" spans="1:8" x14ac:dyDescent="0.25">
      <c r="A1011" t="s">
        <v>144</v>
      </c>
      <c r="B1011" t="s">
        <v>385</v>
      </c>
      <c r="C1011">
        <v>77</v>
      </c>
      <c r="D1011">
        <v>2143.9499999999998</v>
      </c>
      <c r="E1011" s="19">
        <v>45138</v>
      </c>
      <c r="F1011">
        <v>2077.5500000000002</v>
      </c>
      <c r="G1011" s="19">
        <v>45250</v>
      </c>
      <c r="H1011">
        <v>-3.097087152219018</v>
      </c>
    </row>
    <row r="1012" spans="1:8" x14ac:dyDescent="0.25">
      <c r="A1012" t="s">
        <v>144</v>
      </c>
      <c r="B1012" t="s">
        <v>383</v>
      </c>
      <c r="C1012">
        <v>78</v>
      </c>
      <c r="D1012">
        <v>1768.5</v>
      </c>
      <c r="E1012" s="19">
        <v>45021</v>
      </c>
      <c r="F1012">
        <v>1915</v>
      </c>
      <c r="G1012" s="19">
        <v>45134</v>
      </c>
      <c r="H1012">
        <v>-8.283856375459429</v>
      </c>
    </row>
    <row r="1013" spans="1:8" x14ac:dyDescent="0.25">
      <c r="A1013" t="s">
        <v>145</v>
      </c>
      <c r="B1013" t="s">
        <v>385</v>
      </c>
      <c r="C1013">
        <v>19</v>
      </c>
      <c r="D1013">
        <v>420.35</v>
      </c>
      <c r="E1013" s="19">
        <v>45635</v>
      </c>
      <c r="F1013">
        <v>424.65</v>
      </c>
      <c r="G1013" s="19">
        <v>45660</v>
      </c>
      <c r="H1013">
        <v>1.0229570595931849</v>
      </c>
    </row>
    <row r="1014" spans="1:8" x14ac:dyDescent="0.25">
      <c r="A1014" t="s">
        <v>145</v>
      </c>
      <c r="B1014" t="s">
        <v>383</v>
      </c>
      <c r="C1014">
        <v>8</v>
      </c>
      <c r="D1014">
        <v>316.3</v>
      </c>
      <c r="E1014" s="19">
        <v>45622</v>
      </c>
      <c r="F1014">
        <v>367.25</v>
      </c>
      <c r="G1014" s="19">
        <v>45631</v>
      </c>
      <c r="H1014">
        <v>-16.108125197597211</v>
      </c>
    </row>
    <row r="1015" spans="1:8" x14ac:dyDescent="0.25">
      <c r="A1015" t="s">
        <v>145</v>
      </c>
      <c r="B1015" t="s">
        <v>385</v>
      </c>
      <c r="C1015">
        <v>93</v>
      </c>
      <c r="D1015">
        <v>175.85</v>
      </c>
      <c r="E1015" s="19">
        <v>45483</v>
      </c>
      <c r="F1015">
        <v>317.14999999999998</v>
      </c>
      <c r="G1015" s="19">
        <v>45618</v>
      </c>
      <c r="H1015">
        <v>80.352573215808917</v>
      </c>
    </row>
    <row r="1016" spans="1:8" x14ac:dyDescent="0.25">
      <c r="A1016" t="s">
        <v>145</v>
      </c>
      <c r="B1016" t="s">
        <v>383</v>
      </c>
      <c r="C1016">
        <v>74</v>
      </c>
      <c r="D1016">
        <v>172.4</v>
      </c>
      <c r="E1016" s="19">
        <v>45370</v>
      </c>
      <c r="F1016">
        <v>175.91</v>
      </c>
      <c r="G1016" s="19">
        <v>45481</v>
      </c>
      <c r="H1016">
        <v>-2.035962877030157</v>
      </c>
    </row>
    <row r="1017" spans="1:8" x14ac:dyDescent="0.25">
      <c r="A1017" t="s">
        <v>145</v>
      </c>
      <c r="B1017" t="s">
        <v>385</v>
      </c>
      <c r="C1017">
        <v>88</v>
      </c>
      <c r="D1017">
        <v>136.9</v>
      </c>
      <c r="E1017" s="19">
        <v>45240</v>
      </c>
      <c r="F1017">
        <v>173.4</v>
      </c>
      <c r="G1017" s="19">
        <v>45366</v>
      </c>
      <c r="H1017">
        <v>26.661796932067201</v>
      </c>
    </row>
    <row r="1018" spans="1:8" x14ac:dyDescent="0.25">
      <c r="A1018" t="s">
        <v>145</v>
      </c>
      <c r="B1018" t="s">
        <v>383</v>
      </c>
      <c r="C1018">
        <v>6</v>
      </c>
      <c r="D1018">
        <v>128.44999999999999</v>
      </c>
      <c r="E1018" s="19">
        <v>45231</v>
      </c>
      <c r="F1018">
        <v>131.65</v>
      </c>
      <c r="G1018" s="19">
        <v>45238</v>
      </c>
      <c r="H1018">
        <v>-2.491241728298963</v>
      </c>
    </row>
    <row r="1019" spans="1:8" x14ac:dyDescent="0.25">
      <c r="A1019" t="s">
        <v>145</v>
      </c>
      <c r="B1019" t="s">
        <v>385</v>
      </c>
      <c r="C1019">
        <v>11</v>
      </c>
      <c r="D1019">
        <v>133</v>
      </c>
      <c r="E1019" s="19">
        <v>45212</v>
      </c>
      <c r="F1019">
        <v>126.2</v>
      </c>
      <c r="G1019" s="19">
        <v>45229</v>
      </c>
      <c r="H1019">
        <v>-5.1127819548872164</v>
      </c>
    </row>
    <row r="1020" spans="1:8" x14ac:dyDescent="0.25">
      <c r="A1020" t="s">
        <v>145</v>
      </c>
      <c r="B1020" t="s">
        <v>383</v>
      </c>
      <c r="C1020">
        <v>9</v>
      </c>
      <c r="D1020">
        <v>127.35</v>
      </c>
      <c r="E1020" s="19">
        <v>45197</v>
      </c>
      <c r="F1020">
        <v>132.69999999999999</v>
      </c>
      <c r="G1020" s="19">
        <v>45210</v>
      </c>
      <c r="H1020">
        <v>-4.2010208087946559</v>
      </c>
    </row>
    <row r="1021" spans="1:8" x14ac:dyDescent="0.25">
      <c r="A1021" t="s">
        <v>145</v>
      </c>
      <c r="B1021" t="s">
        <v>385</v>
      </c>
      <c r="C1021">
        <v>5</v>
      </c>
      <c r="D1021">
        <v>127.8</v>
      </c>
      <c r="E1021" s="19">
        <v>45189</v>
      </c>
      <c r="F1021">
        <v>127.45</v>
      </c>
      <c r="G1021" s="19">
        <v>45195</v>
      </c>
      <c r="H1021">
        <v>-0.27386541471048059</v>
      </c>
    </row>
    <row r="1022" spans="1:8" x14ac:dyDescent="0.25">
      <c r="A1022" t="s">
        <v>145</v>
      </c>
      <c r="B1022" t="s">
        <v>383</v>
      </c>
      <c r="C1022">
        <v>79</v>
      </c>
      <c r="D1022">
        <v>131.05000000000001</v>
      </c>
      <c r="E1022" s="19">
        <v>45072</v>
      </c>
      <c r="F1022">
        <v>129.85</v>
      </c>
      <c r="G1022" s="19">
        <v>45184</v>
      </c>
      <c r="H1022">
        <v>0.91568103777185572</v>
      </c>
    </row>
    <row r="1023" spans="1:8" x14ac:dyDescent="0.25">
      <c r="A1023" t="s">
        <v>145</v>
      </c>
      <c r="B1023" t="s">
        <v>385</v>
      </c>
      <c r="C1023">
        <v>16</v>
      </c>
      <c r="D1023">
        <v>144.69999999999999</v>
      </c>
      <c r="E1023" s="19">
        <v>45049</v>
      </c>
      <c r="F1023">
        <v>132.5</v>
      </c>
      <c r="G1023" s="19">
        <v>45070</v>
      </c>
      <c r="H1023">
        <v>-8.4312370421561784</v>
      </c>
    </row>
    <row r="1024" spans="1:8" x14ac:dyDescent="0.25">
      <c r="A1024" t="s">
        <v>146</v>
      </c>
      <c r="B1024" t="s">
        <v>385</v>
      </c>
      <c r="C1024">
        <v>14</v>
      </c>
      <c r="D1024">
        <v>584.1</v>
      </c>
      <c r="E1024" s="19">
        <v>45642</v>
      </c>
      <c r="F1024">
        <v>605.20000000000005</v>
      </c>
      <c r="G1024" s="19">
        <v>45660</v>
      </c>
      <c r="H1024">
        <v>3.6123951378188699</v>
      </c>
    </row>
    <row r="1025" spans="1:8" x14ac:dyDescent="0.25">
      <c r="A1025" t="s">
        <v>146</v>
      </c>
      <c r="B1025" t="s">
        <v>383</v>
      </c>
      <c r="C1025">
        <v>55</v>
      </c>
      <c r="D1025">
        <v>563.1</v>
      </c>
      <c r="E1025" s="19">
        <v>45559</v>
      </c>
      <c r="F1025">
        <v>589.29999999999995</v>
      </c>
      <c r="G1025" s="19">
        <v>45638</v>
      </c>
      <c r="H1025">
        <v>-4.6528147753507252</v>
      </c>
    </row>
    <row r="1026" spans="1:8" x14ac:dyDescent="0.25">
      <c r="A1026" t="s">
        <v>146</v>
      </c>
      <c r="B1026" t="s">
        <v>385</v>
      </c>
      <c r="C1026">
        <v>76</v>
      </c>
      <c r="D1026">
        <v>412</v>
      </c>
      <c r="E1026" s="19">
        <v>45447</v>
      </c>
      <c r="F1026">
        <v>539.9</v>
      </c>
      <c r="G1026" s="19">
        <v>45555</v>
      </c>
      <c r="H1026">
        <v>31.043689320388349</v>
      </c>
    </row>
    <row r="1027" spans="1:8" x14ac:dyDescent="0.25">
      <c r="A1027" t="s">
        <v>146</v>
      </c>
      <c r="B1027" t="s">
        <v>383</v>
      </c>
      <c r="C1027">
        <v>32</v>
      </c>
      <c r="D1027">
        <v>415.75</v>
      </c>
      <c r="E1027" s="19">
        <v>45398</v>
      </c>
      <c r="F1027">
        <v>418.5</v>
      </c>
      <c r="G1027" s="19">
        <v>45443</v>
      </c>
      <c r="H1027">
        <v>-0.66145520144317504</v>
      </c>
    </row>
    <row r="1028" spans="1:8" x14ac:dyDescent="0.25">
      <c r="A1028" t="s">
        <v>146</v>
      </c>
      <c r="B1028" t="s">
        <v>385</v>
      </c>
      <c r="C1028">
        <v>147</v>
      </c>
      <c r="D1028">
        <v>312.85000000000002</v>
      </c>
      <c r="E1028" s="19">
        <v>45177</v>
      </c>
      <c r="F1028">
        <v>421.85</v>
      </c>
      <c r="G1028" s="19">
        <v>45394</v>
      </c>
      <c r="H1028">
        <v>34.840978104522932</v>
      </c>
    </row>
    <row r="1029" spans="1:8" x14ac:dyDescent="0.25">
      <c r="A1029" t="s">
        <v>146</v>
      </c>
      <c r="B1029" t="s">
        <v>383</v>
      </c>
      <c r="C1029">
        <v>10</v>
      </c>
      <c r="D1029">
        <v>294.75</v>
      </c>
      <c r="E1029" s="19">
        <v>45162</v>
      </c>
      <c r="F1029">
        <v>310.95</v>
      </c>
      <c r="G1029" s="19">
        <v>45175</v>
      </c>
      <c r="H1029">
        <v>-5.4961832061068669</v>
      </c>
    </row>
    <row r="1030" spans="1:8" x14ac:dyDescent="0.25">
      <c r="A1030" t="s">
        <v>146</v>
      </c>
      <c r="B1030" t="s">
        <v>385</v>
      </c>
      <c r="C1030">
        <v>37</v>
      </c>
      <c r="D1030">
        <v>297.2</v>
      </c>
      <c r="E1030" s="19">
        <v>45107</v>
      </c>
      <c r="F1030">
        <v>294.95</v>
      </c>
      <c r="G1030" s="19">
        <v>45160</v>
      </c>
      <c r="H1030">
        <v>-0.75706594885598921</v>
      </c>
    </row>
    <row r="1031" spans="1:8" x14ac:dyDescent="0.25">
      <c r="A1031" t="s">
        <v>146</v>
      </c>
      <c r="B1031" t="s">
        <v>383</v>
      </c>
      <c r="C1031">
        <v>28</v>
      </c>
      <c r="D1031">
        <v>276.3</v>
      </c>
      <c r="E1031" s="19">
        <v>45065</v>
      </c>
      <c r="F1031">
        <v>297</v>
      </c>
      <c r="G1031" s="19">
        <v>45104</v>
      </c>
      <c r="H1031">
        <v>-7.4918566775244253</v>
      </c>
    </row>
    <row r="1032" spans="1:8" x14ac:dyDescent="0.25">
      <c r="A1032" t="s">
        <v>146</v>
      </c>
      <c r="B1032" t="s">
        <v>385</v>
      </c>
      <c r="C1032">
        <v>18</v>
      </c>
      <c r="D1032">
        <v>300.5</v>
      </c>
      <c r="E1032" s="19">
        <v>45037</v>
      </c>
      <c r="F1032">
        <v>285.95</v>
      </c>
      <c r="G1032" s="19">
        <v>45063</v>
      </c>
      <c r="H1032">
        <v>-4.8419301164725486</v>
      </c>
    </row>
    <row r="1033" spans="1:8" x14ac:dyDescent="0.25">
      <c r="A1033" t="s">
        <v>148</v>
      </c>
      <c r="B1033" t="s">
        <v>385</v>
      </c>
      <c r="C1033">
        <v>24</v>
      </c>
      <c r="D1033">
        <v>583.04999999999995</v>
      </c>
      <c r="E1033" s="19">
        <v>45628</v>
      </c>
      <c r="F1033">
        <v>589</v>
      </c>
      <c r="G1033" s="19">
        <v>45660</v>
      </c>
      <c r="H1033">
        <v>1.020495669325109</v>
      </c>
    </row>
    <row r="1034" spans="1:8" x14ac:dyDescent="0.25">
      <c r="A1034" t="s">
        <v>148</v>
      </c>
      <c r="B1034" t="s">
        <v>383</v>
      </c>
      <c r="C1034">
        <v>5</v>
      </c>
      <c r="D1034">
        <v>506.7</v>
      </c>
      <c r="E1034" s="19">
        <v>45618</v>
      </c>
      <c r="F1034">
        <v>543.04999999999995</v>
      </c>
      <c r="G1034" s="19">
        <v>45624</v>
      </c>
      <c r="H1034">
        <v>-7.1738701401223546</v>
      </c>
    </row>
    <row r="1035" spans="1:8" x14ac:dyDescent="0.25">
      <c r="A1035" t="s">
        <v>148</v>
      </c>
      <c r="B1035" t="s">
        <v>385</v>
      </c>
      <c r="C1035">
        <v>6</v>
      </c>
      <c r="D1035">
        <v>547.6</v>
      </c>
      <c r="E1035" s="19">
        <v>45607</v>
      </c>
      <c r="F1035">
        <v>511.3</v>
      </c>
      <c r="G1035" s="19">
        <v>45615</v>
      </c>
      <c r="H1035">
        <v>-6.6289262235208204</v>
      </c>
    </row>
    <row r="1036" spans="1:8" x14ac:dyDescent="0.25">
      <c r="A1036" t="s">
        <v>148</v>
      </c>
      <c r="B1036" t="s">
        <v>383</v>
      </c>
      <c r="C1036">
        <v>78</v>
      </c>
      <c r="D1036">
        <v>560</v>
      </c>
      <c r="E1036" s="19">
        <v>45492</v>
      </c>
      <c r="F1036">
        <v>563.75</v>
      </c>
      <c r="G1036" s="19">
        <v>45603</v>
      </c>
      <c r="H1036">
        <v>-0.6696428571428571</v>
      </c>
    </row>
    <row r="1037" spans="1:8" x14ac:dyDescent="0.25">
      <c r="A1037" t="s">
        <v>148</v>
      </c>
      <c r="B1037" t="s">
        <v>385</v>
      </c>
      <c r="C1037">
        <v>68</v>
      </c>
      <c r="D1037">
        <v>588.20000000000005</v>
      </c>
      <c r="E1037" s="19">
        <v>45390</v>
      </c>
      <c r="F1037">
        <v>569.6</v>
      </c>
      <c r="G1037" s="19">
        <v>45489</v>
      </c>
      <c r="H1037">
        <v>-3.1621897313838869</v>
      </c>
    </row>
    <row r="1038" spans="1:8" x14ac:dyDescent="0.25">
      <c r="A1038" t="s">
        <v>148</v>
      </c>
      <c r="B1038" t="s">
        <v>383</v>
      </c>
      <c r="C1038">
        <v>17</v>
      </c>
      <c r="D1038">
        <v>467.7</v>
      </c>
      <c r="E1038" s="19">
        <v>45362</v>
      </c>
      <c r="F1038">
        <v>585.79999999999995</v>
      </c>
      <c r="G1038" s="19">
        <v>45386</v>
      </c>
      <c r="H1038">
        <v>-25.25122942056873</v>
      </c>
    </row>
    <row r="1039" spans="1:8" x14ac:dyDescent="0.25">
      <c r="A1039" t="s">
        <v>148</v>
      </c>
      <c r="B1039" t="s">
        <v>385</v>
      </c>
      <c r="C1039">
        <v>3</v>
      </c>
      <c r="D1039">
        <v>526.5</v>
      </c>
      <c r="E1039" s="19">
        <v>45355</v>
      </c>
      <c r="F1039">
        <v>527.70000000000005</v>
      </c>
      <c r="G1039" s="19">
        <v>45357</v>
      </c>
      <c r="H1039">
        <v>0.2279202279202365</v>
      </c>
    </row>
    <row r="1040" spans="1:8" x14ac:dyDescent="0.25">
      <c r="A1040" t="s">
        <v>148</v>
      </c>
      <c r="B1040" t="s">
        <v>383</v>
      </c>
      <c r="C1040">
        <v>27</v>
      </c>
      <c r="D1040">
        <v>520.70000000000005</v>
      </c>
      <c r="E1040" s="19">
        <v>45315</v>
      </c>
      <c r="F1040">
        <v>538.9</v>
      </c>
      <c r="G1040" s="19">
        <v>45352</v>
      </c>
      <c r="H1040">
        <v>-3.4952947954676259</v>
      </c>
    </row>
    <row r="1041" spans="1:8" x14ac:dyDescent="0.25">
      <c r="A1041" t="s">
        <v>148</v>
      </c>
      <c r="B1041" t="s">
        <v>385</v>
      </c>
      <c r="C1041">
        <v>56</v>
      </c>
      <c r="D1041">
        <v>522.35</v>
      </c>
      <c r="E1041" s="19">
        <v>45232</v>
      </c>
      <c r="F1041">
        <v>523.45000000000005</v>
      </c>
      <c r="G1041" s="19">
        <v>45311</v>
      </c>
      <c r="H1041">
        <v>0.21058677132191489</v>
      </c>
    </row>
    <row r="1042" spans="1:8" x14ac:dyDescent="0.25">
      <c r="A1042" t="s">
        <v>148</v>
      </c>
      <c r="B1042" t="s">
        <v>383</v>
      </c>
      <c r="C1042">
        <v>24</v>
      </c>
      <c r="D1042">
        <v>395.95</v>
      </c>
      <c r="E1042" s="19">
        <v>45195</v>
      </c>
      <c r="F1042">
        <v>479.55</v>
      </c>
      <c r="G1042" s="19">
        <v>45230</v>
      </c>
      <c r="H1042">
        <v>-21.11377699204446</v>
      </c>
    </row>
    <row r="1043" spans="1:8" x14ac:dyDescent="0.25">
      <c r="A1043" t="s">
        <v>148</v>
      </c>
      <c r="B1043" t="s">
        <v>385</v>
      </c>
      <c r="C1043">
        <v>89</v>
      </c>
      <c r="D1043">
        <v>311.8</v>
      </c>
      <c r="E1043" s="19">
        <v>45064</v>
      </c>
      <c r="F1043">
        <v>427.65</v>
      </c>
      <c r="G1043" s="19">
        <v>45191</v>
      </c>
      <c r="H1043">
        <v>37.155227710070541</v>
      </c>
    </row>
    <row r="1044" spans="1:8" x14ac:dyDescent="0.25">
      <c r="A1044" t="s">
        <v>148</v>
      </c>
      <c r="B1044" t="s">
        <v>383</v>
      </c>
      <c r="C1044">
        <v>79</v>
      </c>
      <c r="D1044">
        <v>307.5</v>
      </c>
      <c r="E1044" s="19">
        <v>44943</v>
      </c>
      <c r="F1044">
        <v>317</v>
      </c>
      <c r="G1044" s="19">
        <v>45062</v>
      </c>
      <c r="H1044">
        <v>-3.089430894308943</v>
      </c>
    </row>
    <row r="1045" spans="1:8" x14ac:dyDescent="0.25">
      <c r="A1045" t="s">
        <v>149</v>
      </c>
      <c r="B1045" t="s">
        <v>383</v>
      </c>
      <c r="C1045">
        <v>5</v>
      </c>
      <c r="D1045">
        <v>354.2</v>
      </c>
      <c r="E1045" s="19">
        <v>45656</v>
      </c>
      <c r="F1045">
        <v>367.7</v>
      </c>
      <c r="G1045" s="19">
        <v>45660</v>
      </c>
      <c r="H1045">
        <v>-3.8114059853190292</v>
      </c>
    </row>
    <row r="1046" spans="1:8" x14ac:dyDescent="0.25">
      <c r="A1046" t="s">
        <v>149</v>
      </c>
      <c r="B1046" t="s">
        <v>385</v>
      </c>
      <c r="C1046">
        <v>8</v>
      </c>
      <c r="D1046">
        <v>394.2</v>
      </c>
      <c r="E1046" s="19">
        <v>45642</v>
      </c>
      <c r="F1046">
        <v>348.15</v>
      </c>
      <c r="G1046" s="19">
        <v>45652</v>
      </c>
      <c r="H1046">
        <v>-11.681887366818881</v>
      </c>
    </row>
    <row r="1047" spans="1:8" x14ac:dyDescent="0.25">
      <c r="A1047" t="s">
        <v>149</v>
      </c>
      <c r="B1047" t="s">
        <v>383</v>
      </c>
      <c r="C1047">
        <v>21</v>
      </c>
      <c r="D1047">
        <v>353.6</v>
      </c>
      <c r="E1047" s="19">
        <v>45608</v>
      </c>
      <c r="F1047">
        <v>410.45</v>
      </c>
      <c r="G1047" s="19">
        <v>45638</v>
      </c>
      <c r="H1047">
        <v>-16.0774886877828</v>
      </c>
    </row>
    <row r="1048" spans="1:8" x14ac:dyDescent="0.25">
      <c r="A1048" t="s">
        <v>149</v>
      </c>
      <c r="B1048" t="s">
        <v>385</v>
      </c>
      <c r="C1048">
        <v>92</v>
      </c>
      <c r="D1048">
        <v>330.1</v>
      </c>
      <c r="E1048" s="19">
        <v>45474</v>
      </c>
      <c r="F1048">
        <v>372.2</v>
      </c>
      <c r="G1048" s="19">
        <v>45604</v>
      </c>
      <c r="H1048">
        <v>12.753710996667669</v>
      </c>
    </row>
    <row r="1049" spans="1:8" x14ac:dyDescent="0.25">
      <c r="A1049" t="s">
        <v>149</v>
      </c>
      <c r="B1049" t="s">
        <v>383</v>
      </c>
      <c r="C1049">
        <v>89</v>
      </c>
      <c r="D1049">
        <v>360</v>
      </c>
      <c r="E1049" s="19">
        <v>45338</v>
      </c>
      <c r="F1049">
        <v>318.75</v>
      </c>
      <c r="G1049" s="19">
        <v>45470</v>
      </c>
      <c r="H1049">
        <v>11.45833333333333</v>
      </c>
    </row>
    <row r="1050" spans="1:8" x14ac:dyDescent="0.25">
      <c r="A1050" t="s">
        <v>149</v>
      </c>
      <c r="B1050" t="s">
        <v>385</v>
      </c>
      <c r="C1050">
        <v>39</v>
      </c>
      <c r="D1050">
        <v>366.85</v>
      </c>
      <c r="E1050" s="19">
        <v>45280</v>
      </c>
      <c r="F1050">
        <v>362.1</v>
      </c>
      <c r="G1050" s="19">
        <v>45336</v>
      </c>
      <c r="H1050">
        <v>-1.294807141883604</v>
      </c>
    </row>
    <row r="1051" spans="1:8" x14ac:dyDescent="0.25">
      <c r="A1051" t="s">
        <v>149</v>
      </c>
      <c r="B1051" t="s">
        <v>383</v>
      </c>
      <c r="C1051">
        <v>34</v>
      </c>
      <c r="D1051">
        <v>353.25</v>
      </c>
      <c r="E1051" s="19">
        <v>45230</v>
      </c>
      <c r="F1051">
        <v>363.35</v>
      </c>
      <c r="G1051" s="19">
        <v>45278</v>
      </c>
      <c r="H1051">
        <v>-2.859164897381465</v>
      </c>
    </row>
    <row r="1052" spans="1:8" x14ac:dyDescent="0.25">
      <c r="A1052" t="s">
        <v>149</v>
      </c>
      <c r="B1052" t="s">
        <v>385</v>
      </c>
      <c r="C1052">
        <v>124</v>
      </c>
      <c r="D1052">
        <v>301.3</v>
      </c>
      <c r="E1052" s="19">
        <v>45048</v>
      </c>
      <c r="F1052">
        <v>357.95</v>
      </c>
      <c r="G1052" s="19">
        <v>45226</v>
      </c>
      <c r="H1052">
        <v>18.80185861267838</v>
      </c>
    </row>
    <row r="1053" spans="1:8" x14ac:dyDescent="0.25">
      <c r="A1053" t="s">
        <v>150</v>
      </c>
      <c r="B1053" t="s">
        <v>383</v>
      </c>
      <c r="C1053">
        <v>66</v>
      </c>
      <c r="D1053">
        <v>220.03</v>
      </c>
      <c r="E1053" s="19">
        <v>45565</v>
      </c>
      <c r="F1053">
        <v>183.04</v>
      </c>
      <c r="G1053" s="19">
        <v>45660</v>
      </c>
      <c r="H1053">
        <v>16.811343907648961</v>
      </c>
    </row>
    <row r="1054" spans="1:8" x14ac:dyDescent="0.25">
      <c r="A1054" t="s">
        <v>150</v>
      </c>
      <c r="B1054" t="s">
        <v>385</v>
      </c>
      <c r="C1054">
        <v>65</v>
      </c>
      <c r="D1054">
        <v>208.87</v>
      </c>
      <c r="E1054" s="19">
        <v>45469</v>
      </c>
      <c r="F1054">
        <v>218.74</v>
      </c>
      <c r="G1054" s="19">
        <v>45561</v>
      </c>
      <c r="H1054">
        <v>4.7254272992770643</v>
      </c>
    </row>
    <row r="1055" spans="1:8" x14ac:dyDescent="0.25">
      <c r="A1055" t="s">
        <v>150</v>
      </c>
      <c r="B1055" t="s">
        <v>383</v>
      </c>
      <c r="C1055">
        <v>16</v>
      </c>
      <c r="D1055">
        <v>194.2</v>
      </c>
      <c r="E1055" s="19">
        <v>45443</v>
      </c>
      <c r="F1055">
        <v>213.78</v>
      </c>
      <c r="G1055" s="19">
        <v>45467</v>
      </c>
      <c r="H1055">
        <v>-10.08238928939239</v>
      </c>
    </row>
    <row r="1056" spans="1:8" x14ac:dyDescent="0.25">
      <c r="A1056" t="s">
        <v>150</v>
      </c>
      <c r="B1056" t="s">
        <v>385</v>
      </c>
      <c r="C1056">
        <v>136</v>
      </c>
      <c r="D1056">
        <v>135</v>
      </c>
      <c r="E1056" s="19">
        <v>45240</v>
      </c>
      <c r="F1056">
        <v>196.45</v>
      </c>
      <c r="G1056" s="19">
        <v>45441</v>
      </c>
      <c r="H1056">
        <v>45.518518518518498</v>
      </c>
    </row>
    <row r="1057" spans="1:8" x14ac:dyDescent="0.25">
      <c r="A1057" t="s">
        <v>150</v>
      </c>
      <c r="B1057" t="s">
        <v>383</v>
      </c>
      <c r="C1057">
        <v>4</v>
      </c>
      <c r="D1057">
        <v>127.1</v>
      </c>
      <c r="E1057" s="19">
        <v>45233</v>
      </c>
      <c r="F1057">
        <v>133.30000000000001</v>
      </c>
      <c r="G1057" s="19">
        <v>45238</v>
      </c>
      <c r="H1057">
        <v>-4.8780487804878181</v>
      </c>
    </row>
    <row r="1058" spans="1:8" x14ac:dyDescent="0.25">
      <c r="A1058" t="s">
        <v>150</v>
      </c>
      <c r="B1058" t="s">
        <v>385</v>
      </c>
      <c r="C1058">
        <v>177</v>
      </c>
      <c r="D1058">
        <v>97.6</v>
      </c>
      <c r="E1058" s="19">
        <v>44970</v>
      </c>
      <c r="F1058">
        <v>121</v>
      </c>
      <c r="G1058" s="19">
        <v>45231</v>
      </c>
      <c r="H1058">
        <v>23.97540983606558</v>
      </c>
    </row>
    <row r="1059" spans="1:8" x14ac:dyDescent="0.25">
      <c r="A1059" t="s">
        <v>151</v>
      </c>
      <c r="B1059" t="s">
        <v>383</v>
      </c>
      <c r="C1059">
        <v>39</v>
      </c>
      <c r="D1059">
        <v>390.4</v>
      </c>
      <c r="E1059" s="19">
        <v>45603</v>
      </c>
      <c r="F1059">
        <v>367.05</v>
      </c>
      <c r="G1059" s="19">
        <v>45660</v>
      </c>
      <c r="H1059">
        <v>5.9810450819672054</v>
      </c>
    </row>
    <row r="1060" spans="1:8" x14ac:dyDescent="0.25">
      <c r="A1060" t="s">
        <v>151</v>
      </c>
      <c r="B1060" t="s">
        <v>385</v>
      </c>
      <c r="C1060">
        <v>79</v>
      </c>
      <c r="D1060">
        <v>324.64999999999998</v>
      </c>
      <c r="E1060" s="19">
        <v>45488</v>
      </c>
      <c r="F1060">
        <v>383.8</v>
      </c>
      <c r="G1060" s="19">
        <v>45601</v>
      </c>
      <c r="H1060">
        <v>18.219621130448189</v>
      </c>
    </row>
    <row r="1061" spans="1:8" x14ac:dyDescent="0.25">
      <c r="A1061" t="s">
        <v>151</v>
      </c>
      <c r="B1061" t="s">
        <v>383</v>
      </c>
      <c r="C1061">
        <v>54</v>
      </c>
      <c r="D1061">
        <v>293.3</v>
      </c>
      <c r="E1061" s="19">
        <v>45407</v>
      </c>
      <c r="F1061">
        <v>317.7</v>
      </c>
      <c r="G1061" s="19">
        <v>45484</v>
      </c>
      <c r="H1061">
        <v>-8.3191271735424408</v>
      </c>
    </row>
    <row r="1062" spans="1:8" x14ac:dyDescent="0.25">
      <c r="A1062" t="s">
        <v>151</v>
      </c>
      <c r="B1062" t="s">
        <v>385</v>
      </c>
      <c r="C1062">
        <v>96</v>
      </c>
      <c r="D1062">
        <v>288.89999999999998</v>
      </c>
      <c r="E1062" s="19">
        <v>45264</v>
      </c>
      <c r="F1062">
        <v>301.3</v>
      </c>
      <c r="G1062" s="19">
        <v>45405</v>
      </c>
      <c r="H1062">
        <v>4.2921426098996314</v>
      </c>
    </row>
    <row r="1063" spans="1:8" x14ac:dyDescent="0.25">
      <c r="A1063" t="s">
        <v>151</v>
      </c>
      <c r="B1063" t="s">
        <v>383</v>
      </c>
      <c r="C1063">
        <v>24</v>
      </c>
      <c r="D1063">
        <v>274.85000000000002</v>
      </c>
      <c r="E1063" s="19">
        <v>45226</v>
      </c>
      <c r="F1063">
        <v>288.5</v>
      </c>
      <c r="G1063" s="19">
        <v>45260</v>
      </c>
      <c r="H1063">
        <v>-4.9663452792432148</v>
      </c>
    </row>
    <row r="1064" spans="1:8" x14ac:dyDescent="0.25">
      <c r="A1064" t="s">
        <v>151</v>
      </c>
      <c r="B1064" t="s">
        <v>385</v>
      </c>
      <c r="C1064">
        <v>19</v>
      </c>
      <c r="D1064">
        <v>287.5</v>
      </c>
      <c r="E1064" s="19">
        <v>45196</v>
      </c>
      <c r="F1064">
        <v>274.5</v>
      </c>
      <c r="G1064" s="19">
        <v>45224</v>
      </c>
      <c r="H1064">
        <v>-4.5217391304347831</v>
      </c>
    </row>
    <row r="1065" spans="1:8" x14ac:dyDescent="0.25">
      <c r="A1065" t="s">
        <v>151</v>
      </c>
      <c r="B1065" t="s">
        <v>383</v>
      </c>
      <c r="C1065">
        <v>37</v>
      </c>
      <c r="D1065">
        <v>286</v>
      </c>
      <c r="E1065" s="19">
        <v>45140</v>
      </c>
      <c r="F1065">
        <v>284.75</v>
      </c>
      <c r="G1065" s="19">
        <v>45194</v>
      </c>
      <c r="H1065">
        <v>0.43706293706293708</v>
      </c>
    </row>
    <row r="1066" spans="1:8" x14ac:dyDescent="0.25">
      <c r="A1066" t="s">
        <v>151</v>
      </c>
      <c r="B1066" t="s">
        <v>385</v>
      </c>
      <c r="C1066">
        <v>64</v>
      </c>
      <c r="D1066">
        <v>284.14999999999998</v>
      </c>
      <c r="E1066" s="19">
        <v>45048</v>
      </c>
      <c r="F1066">
        <v>289.5</v>
      </c>
      <c r="G1066" s="19">
        <v>45138</v>
      </c>
      <c r="H1066">
        <v>1.88280837585783</v>
      </c>
    </row>
    <row r="1067" spans="1:8" x14ac:dyDescent="0.25">
      <c r="A1067" t="s">
        <v>152</v>
      </c>
      <c r="B1067" t="s">
        <v>383</v>
      </c>
      <c r="C1067">
        <v>67</v>
      </c>
      <c r="D1067">
        <v>610.79999999999995</v>
      </c>
      <c r="E1067" s="19">
        <v>45562</v>
      </c>
      <c r="F1067">
        <v>514.15</v>
      </c>
      <c r="G1067" s="19">
        <v>45660</v>
      </c>
      <c r="H1067">
        <v>15.823510150622131</v>
      </c>
    </row>
    <row r="1068" spans="1:8" x14ac:dyDescent="0.25">
      <c r="A1068" t="s">
        <v>152</v>
      </c>
      <c r="B1068" t="s">
        <v>385</v>
      </c>
      <c r="C1068">
        <v>16</v>
      </c>
      <c r="D1068">
        <v>660.55</v>
      </c>
      <c r="E1068" s="19">
        <v>45539</v>
      </c>
      <c r="F1068">
        <v>605.29999999999995</v>
      </c>
      <c r="G1068" s="19">
        <v>45560</v>
      </c>
      <c r="H1068">
        <v>-8.3642419196124447</v>
      </c>
    </row>
    <row r="1069" spans="1:8" x14ac:dyDescent="0.25">
      <c r="A1069" t="s">
        <v>152</v>
      </c>
      <c r="B1069" t="s">
        <v>383</v>
      </c>
      <c r="C1069">
        <v>8</v>
      </c>
      <c r="D1069">
        <v>595.4</v>
      </c>
      <c r="E1069" s="19">
        <v>45526</v>
      </c>
      <c r="F1069">
        <v>680</v>
      </c>
      <c r="G1069" s="19">
        <v>45537</v>
      </c>
      <c r="H1069">
        <v>-14.208935169633859</v>
      </c>
    </row>
    <row r="1070" spans="1:8" x14ac:dyDescent="0.25">
      <c r="A1070" t="s">
        <v>152</v>
      </c>
      <c r="B1070" t="s">
        <v>385</v>
      </c>
      <c r="C1070">
        <v>61</v>
      </c>
      <c r="D1070">
        <v>560.75</v>
      </c>
      <c r="E1070" s="19">
        <v>45435</v>
      </c>
      <c r="F1070">
        <v>588</v>
      </c>
      <c r="G1070" s="19">
        <v>45524</v>
      </c>
      <c r="H1070">
        <v>4.8595630851538116</v>
      </c>
    </row>
    <row r="1071" spans="1:8" x14ac:dyDescent="0.25">
      <c r="A1071" t="s">
        <v>152</v>
      </c>
      <c r="B1071" t="s">
        <v>383</v>
      </c>
      <c r="C1071">
        <v>12</v>
      </c>
      <c r="D1071">
        <v>548.20000000000005</v>
      </c>
      <c r="E1071" s="19">
        <v>45418</v>
      </c>
      <c r="F1071">
        <v>560.79999999999995</v>
      </c>
      <c r="G1071" s="19">
        <v>45433</v>
      </c>
      <c r="H1071">
        <v>-2.2984312294782758</v>
      </c>
    </row>
    <row r="1072" spans="1:8" x14ac:dyDescent="0.25">
      <c r="A1072" t="s">
        <v>152</v>
      </c>
      <c r="B1072" t="s">
        <v>385</v>
      </c>
      <c r="C1072">
        <v>100</v>
      </c>
      <c r="D1072">
        <v>441.45</v>
      </c>
      <c r="E1072" s="19">
        <v>45266</v>
      </c>
      <c r="F1072">
        <v>537.1</v>
      </c>
      <c r="G1072" s="19">
        <v>45414</v>
      </c>
      <c r="H1072">
        <v>21.667232982217701</v>
      </c>
    </row>
    <row r="1073" spans="1:8" x14ac:dyDescent="0.25">
      <c r="A1073" t="s">
        <v>152</v>
      </c>
      <c r="B1073" t="s">
        <v>383</v>
      </c>
      <c r="C1073">
        <v>111</v>
      </c>
      <c r="D1073">
        <v>462</v>
      </c>
      <c r="E1073" s="19">
        <v>45100</v>
      </c>
      <c r="F1073">
        <v>441.85</v>
      </c>
      <c r="G1073" s="19">
        <v>45264</v>
      </c>
      <c r="H1073">
        <v>4.3614718614718564</v>
      </c>
    </row>
    <row r="1074" spans="1:8" x14ac:dyDescent="0.25">
      <c r="A1074" t="s">
        <v>152</v>
      </c>
      <c r="B1074" t="s">
        <v>385</v>
      </c>
      <c r="C1074">
        <v>21</v>
      </c>
      <c r="D1074">
        <v>487.2</v>
      </c>
      <c r="E1074" s="19">
        <v>45070</v>
      </c>
      <c r="F1074">
        <v>472.6</v>
      </c>
      <c r="G1074" s="19">
        <v>45098</v>
      </c>
      <c r="H1074">
        <v>-2.9967159277504041</v>
      </c>
    </row>
    <row r="1075" spans="1:8" x14ac:dyDescent="0.25">
      <c r="A1075" t="s">
        <v>152</v>
      </c>
      <c r="B1075" t="s">
        <v>383</v>
      </c>
      <c r="C1075">
        <v>33</v>
      </c>
      <c r="D1075">
        <v>460.7</v>
      </c>
      <c r="E1075" s="19">
        <v>45016</v>
      </c>
      <c r="F1075">
        <v>482.95</v>
      </c>
      <c r="G1075" s="19">
        <v>45068</v>
      </c>
      <c r="H1075">
        <v>-4.8296071196006078</v>
      </c>
    </row>
    <row r="1076" spans="1:8" x14ac:dyDescent="0.25">
      <c r="A1076" t="s">
        <v>153</v>
      </c>
      <c r="B1076" t="s">
        <v>385</v>
      </c>
      <c r="C1076">
        <v>1</v>
      </c>
      <c r="D1076">
        <v>1178.3499999999999</v>
      </c>
      <c r="E1076" s="19">
        <v>45660</v>
      </c>
      <c r="F1076">
        <v>1178.3499999999999</v>
      </c>
      <c r="G1076" s="19">
        <v>45660</v>
      </c>
      <c r="H1076">
        <v>0</v>
      </c>
    </row>
    <row r="1077" spans="1:8" x14ac:dyDescent="0.25">
      <c r="A1077" t="s">
        <v>153</v>
      </c>
      <c r="B1077" t="s">
        <v>383</v>
      </c>
      <c r="C1077">
        <v>49</v>
      </c>
      <c r="D1077">
        <v>1179.5</v>
      </c>
      <c r="E1077" s="19">
        <v>45587</v>
      </c>
      <c r="F1077">
        <v>1202.8</v>
      </c>
      <c r="G1077" s="19">
        <v>45658</v>
      </c>
      <c r="H1077">
        <v>-1.9754133107248799</v>
      </c>
    </row>
    <row r="1078" spans="1:8" x14ac:dyDescent="0.25">
      <c r="A1078" t="s">
        <v>153</v>
      </c>
      <c r="B1078" t="s">
        <v>385</v>
      </c>
      <c r="C1078">
        <v>83</v>
      </c>
      <c r="D1078">
        <v>1012.6</v>
      </c>
      <c r="E1078" s="19">
        <v>45464</v>
      </c>
      <c r="F1078">
        <v>1281.8499999999999</v>
      </c>
      <c r="G1078" s="19">
        <v>45583</v>
      </c>
      <c r="H1078">
        <v>26.58996642306932</v>
      </c>
    </row>
    <row r="1079" spans="1:8" x14ac:dyDescent="0.25">
      <c r="A1079" t="s">
        <v>153</v>
      </c>
      <c r="B1079" t="s">
        <v>383</v>
      </c>
      <c r="C1079">
        <v>22</v>
      </c>
      <c r="D1079">
        <v>926.05</v>
      </c>
      <c r="E1079" s="19">
        <v>45430</v>
      </c>
      <c r="F1079">
        <v>992.05</v>
      </c>
      <c r="G1079" s="19">
        <v>45462</v>
      </c>
      <c r="H1079">
        <v>-7.1270449759732193</v>
      </c>
    </row>
    <row r="1080" spans="1:8" x14ac:dyDescent="0.25">
      <c r="A1080" t="s">
        <v>153</v>
      </c>
      <c r="B1080" t="s">
        <v>385</v>
      </c>
      <c r="C1080">
        <v>143</v>
      </c>
      <c r="D1080">
        <v>560.35</v>
      </c>
      <c r="E1080" s="19">
        <v>45217</v>
      </c>
      <c r="F1080">
        <v>927.9</v>
      </c>
      <c r="G1080" s="19">
        <v>45428</v>
      </c>
      <c r="H1080">
        <v>65.592932988310864</v>
      </c>
    </row>
    <row r="1081" spans="1:8" x14ac:dyDescent="0.25">
      <c r="A1081" t="s">
        <v>153</v>
      </c>
      <c r="B1081" t="s">
        <v>383</v>
      </c>
      <c r="C1081">
        <v>9</v>
      </c>
      <c r="D1081">
        <v>537.70000000000005</v>
      </c>
      <c r="E1081" s="19">
        <v>45203</v>
      </c>
      <c r="F1081">
        <v>577</v>
      </c>
      <c r="G1081" s="19">
        <v>45215</v>
      </c>
      <c r="H1081">
        <v>-7.3089083131857828</v>
      </c>
    </row>
    <row r="1082" spans="1:8" x14ac:dyDescent="0.25">
      <c r="A1082" t="s">
        <v>153</v>
      </c>
      <c r="B1082" t="s">
        <v>385</v>
      </c>
      <c r="C1082">
        <v>94</v>
      </c>
      <c r="D1082">
        <v>421.75</v>
      </c>
      <c r="E1082" s="19">
        <v>45064</v>
      </c>
      <c r="F1082">
        <v>530.54999999999995</v>
      </c>
      <c r="G1082" s="19">
        <v>45198</v>
      </c>
      <c r="H1082">
        <v>25.797273266152921</v>
      </c>
    </row>
    <row r="1083" spans="1:8" x14ac:dyDescent="0.25">
      <c r="A1083" t="s">
        <v>153</v>
      </c>
      <c r="B1083" t="s">
        <v>383</v>
      </c>
      <c r="C1083">
        <v>49</v>
      </c>
      <c r="D1083">
        <v>415.8</v>
      </c>
      <c r="E1083" s="19">
        <v>44986</v>
      </c>
      <c r="F1083">
        <v>419.45</v>
      </c>
      <c r="G1083" s="19">
        <v>45062</v>
      </c>
      <c r="H1083">
        <v>-0.8778258778258724</v>
      </c>
    </row>
    <row r="1084" spans="1:8" x14ac:dyDescent="0.25">
      <c r="A1084" t="s">
        <v>154</v>
      </c>
      <c r="B1084" t="s">
        <v>385</v>
      </c>
      <c r="C1084">
        <v>18</v>
      </c>
      <c r="D1084">
        <v>254.26</v>
      </c>
      <c r="E1084" s="19">
        <v>45636</v>
      </c>
      <c r="F1084">
        <v>245.91</v>
      </c>
      <c r="G1084" s="19">
        <v>45660</v>
      </c>
      <c r="H1084">
        <v>-3.2840399590969849</v>
      </c>
    </row>
    <row r="1085" spans="1:8" x14ac:dyDescent="0.25">
      <c r="A1085" t="s">
        <v>154</v>
      </c>
      <c r="B1085" t="s">
        <v>383</v>
      </c>
      <c r="C1085">
        <v>69</v>
      </c>
      <c r="D1085">
        <v>293.64999999999998</v>
      </c>
      <c r="E1085" s="19">
        <v>45533</v>
      </c>
      <c r="F1085">
        <v>247.77</v>
      </c>
      <c r="G1085" s="19">
        <v>45632</v>
      </c>
      <c r="H1085">
        <v>15.624042227141141</v>
      </c>
    </row>
    <row r="1086" spans="1:8" x14ac:dyDescent="0.25">
      <c r="A1086" t="s">
        <v>154</v>
      </c>
      <c r="B1086" t="s">
        <v>385</v>
      </c>
      <c r="C1086">
        <v>331</v>
      </c>
      <c r="D1086">
        <v>49.15</v>
      </c>
      <c r="E1086" s="19">
        <v>45044</v>
      </c>
      <c r="F1086">
        <v>278.64999999999998</v>
      </c>
      <c r="G1086" s="19">
        <v>45531</v>
      </c>
      <c r="H1086">
        <v>466.93794506612409</v>
      </c>
    </row>
    <row r="1087" spans="1:8" x14ac:dyDescent="0.25">
      <c r="A1087" t="s">
        <v>155</v>
      </c>
      <c r="B1087" t="s">
        <v>385</v>
      </c>
      <c r="C1087">
        <v>15</v>
      </c>
      <c r="D1087">
        <v>1468.8</v>
      </c>
      <c r="E1087" s="19">
        <v>45639</v>
      </c>
      <c r="F1087">
        <v>1509.85</v>
      </c>
      <c r="G1087" s="19">
        <v>45660</v>
      </c>
      <c r="H1087">
        <v>2.794798474945531</v>
      </c>
    </row>
    <row r="1088" spans="1:8" x14ac:dyDescent="0.25">
      <c r="A1088" t="s">
        <v>155</v>
      </c>
      <c r="B1088" t="s">
        <v>383</v>
      </c>
      <c r="C1088">
        <v>74</v>
      </c>
      <c r="D1088">
        <v>1539.95</v>
      </c>
      <c r="E1088" s="19">
        <v>45531</v>
      </c>
      <c r="F1088">
        <v>1503.3</v>
      </c>
      <c r="G1088" s="19">
        <v>45637</v>
      </c>
      <c r="H1088">
        <v>2.3799474008896451</v>
      </c>
    </row>
    <row r="1089" spans="1:8" x14ac:dyDescent="0.25">
      <c r="A1089" t="s">
        <v>155</v>
      </c>
      <c r="B1089" t="s">
        <v>385</v>
      </c>
      <c r="C1089">
        <v>98</v>
      </c>
      <c r="D1089">
        <v>1058.95</v>
      </c>
      <c r="E1089" s="19">
        <v>45384</v>
      </c>
      <c r="F1089">
        <v>1588.95</v>
      </c>
      <c r="G1089" s="19">
        <v>45527</v>
      </c>
      <c r="H1089">
        <v>50.049577411586952</v>
      </c>
    </row>
    <row r="1090" spans="1:8" x14ac:dyDescent="0.25">
      <c r="A1090" t="s">
        <v>155</v>
      </c>
      <c r="B1090" t="s">
        <v>383</v>
      </c>
      <c r="C1090">
        <v>4</v>
      </c>
      <c r="D1090">
        <v>898.65</v>
      </c>
      <c r="E1090" s="19">
        <v>45373</v>
      </c>
      <c r="F1090">
        <v>908.9</v>
      </c>
      <c r="G1090" s="19">
        <v>45379</v>
      </c>
      <c r="H1090">
        <v>-1.140599788571746</v>
      </c>
    </row>
    <row r="1091" spans="1:8" x14ac:dyDescent="0.25">
      <c r="A1091" t="s">
        <v>155</v>
      </c>
      <c r="B1091" t="s">
        <v>385</v>
      </c>
      <c r="C1091">
        <v>45</v>
      </c>
      <c r="D1091">
        <v>911.15</v>
      </c>
      <c r="E1091" s="19">
        <v>45308</v>
      </c>
      <c r="F1091">
        <v>893.3</v>
      </c>
      <c r="G1091" s="19">
        <v>45371</v>
      </c>
      <c r="H1091">
        <v>-1.9590627229325599</v>
      </c>
    </row>
    <row r="1092" spans="1:8" x14ac:dyDescent="0.25">
      <c r="A1092" t="s">
        <v>155</v>
      </c>
      <c r="B1092" t="s">
        <v>383</v>
      </c>
      <c r="C1092">
        <v>57</v>
      </c>
      <c r="D1092">
        <v>893.65</v>
      </c>
      <c r="E1092" s="19">
        <v>45224</v>
      </c>
      <c r="F1092">
        <v>914.3</v>
      </c>
      <c r="G1092" s="19">
        <v>45306</v>
      </c>
      <c r="H1092">
        <v>-2.3107480557265121</v>
      </c>
    </row>
    <row r="1093" spans="1:8" x14ac:dyDescent="0.25">
      <c r="A1093" t="s">
        <v>155</v>
      </c>
      <c r="B1093" t="s">
        <v>385</v>
      </c>
      <c r="C1093">
        <v>62</v>
      </c>
      <c r="D1093">
        <v>925</v>
      </c>
      <c r="E1093" s="19">
        <v>45131</v>
      </c>
      <c r="F1093">
        <v>938</v>
      </c>
      <c r="G1093" s="19">
        <v>45219</v>
      </c>
      <c r="H1093">
        <v>1.405405405405405</v>
      </c>
    </row>
    <row r="1094" spans="1:8" x14ac:dyDescent="0.25">
      <c r="A1094" t="s">
        <v>155</v>
      </c>
      <c r="B1094" t="s">
        <v>383</v>
      </c>
      <c r="C1094">
        <v>14</v>
      </c>
      <c r="D1094">
        <v>861.05</v>
      </c>
      <c r="E1094" s="19">
        <v>45110</v>
      </c>
      <c r="F1094">
        <v>919</v>
      </c>
      <c r="G1094" s="19">
        <v>45127</v>
      </c>
      <c r="H1094">
        <v>-6.7301550432611403</v>
      </c>
    </row>
    <row r="1095" spans="1:8" x14ac:dyDescent="0.25">
      <c r="A1095" t="s">
        <v>155</v>
      </c>
      <c r="B1095" t="s">
        <v>385</v>
      </c>
      <c r="C1095">
        <v>120</v>
      </c>
      <c r="D1095">
        <v>639.45000000000005</v>
      </c>
      <c r="E1095" s="19">
        <v>44929</v>
      </c>
      <c r="F1095">
        <v>855</v>
      </c>
      <c r="G1095" s="19">
        <v>45105</v>
      </c>
      <c r="H1095">
        <v>33.708655876143553</v>
      </c>
    </row>
    <row r="1096" spans="1:8" x14ac:dyDescent="0.25">
      <c r="A1096" t="s">
        <v>156</v>
      </c>
      <c r="B1096" t="s">
        <v>383</v>
      </c>
      <c r="C1096">
        <v>7</v>
      </c>
      <c r="D1096">
        <v>4269.45</v>
      </c>
      <c r="E1096" s="19">
        <v>45652</v>
      </c>
      <c r="F1096">
        <v>4224.6499999999996</v>
      </c>
      <c r="G1096" s="19">
        <v>45660</v>
      </c>
      <c r="H1096">
        <v>1.0493154856011939</v>
      </c>
    </row>
    <row r="1097" spans="1:8" x14ac:dyDescent="0.25">
      <c r="A1097" t="s">
        <v>156</v>
      </c>
      <c r="B1097" t="s">
        <v>385</v>
      </c>
      <c r="C1097">
        <v>8</v>
      </c>
      <c r="D1097">
        <v>4542.6000000000004</v>
      </c>
      <c r="E1097" s="19">
        <v>45638</v>
      </c>
      <c r="F1097">
        <v>4249.6499999999996</v>
      </c>
      <c r="G1097" s="19">
        <v>45649</v>
      </c>
      <c r="H1097">
        <v>-6.4489499405626889</v>
      </c>
    </row>
    <row r="1098" spans="1:8" x14ac:dyDescent="0.25">
      <c r="A1098" t="s">
        <v>156</v>
      </c>
      <c r="B1098" t="s">
        <v>383</v>
      </c>
      <c r="C1098">
        <v>15</v>
      </c>
      <c r="D1098">
        <v>4190.1499999999996</v>
      </c>
      <c r="E1098" s="19">
        <v>45615</v>
      </c>
      <c r="F1098">
        <v>4456.5</v>
      </c>
      <c r="G1098" s="19">
        <v>45636</v>
      </c>
      <c r="H1098">
        <v>-6.3565743469804277</v>
      </c>
    </row>
    <row r="1099" spans="1:8" x14ac:dyDescent="0.25">
      <c r="A1099" t="s">
        <v>156</v>
      </c>
      <c r="B1099" t="s">
        <v>385</v>
      </c>
      <c r="C1099">
        <v>381</v>
      </c>
      <c r="D1099">
        <v>1821.65</v>
      </c>
      <c r="E1099" s="19">
        <v>45055</v>
      </c>
      <c r="F1099">
        <v>4278.75</v>
      </c>
      <c r="G1099" s="19">
        <v>45610</v>
      </c>
      <c r="H1099">
        <v>134.88321027639779</v>
      </c>
    </row>
    <row r="1100" spans="1:8" x14ac:dyDescent="0.25">
      <c r="A1100" t="s">
        <v>157</v>
      </c>
      <c r="B1100" t="s">
        <v>385</v>
      </c>
      <c r="C1100">
        <v>151</v>
      </c>
      <c r="D1100">
        <v>1508.3</v>
      </c>
      <c r="E1100" s="19">
        <v>45441</v>
      </c>
      <c r="F1100">
        <v>1749.2</v>
      </c>
      <c r="G1100" s="19">
        <v>45660</v>
      </c>
      <c r="H1100">
        <v>15.97162368229133</v>
      </c>
    </row>
    <row r="1101" spans="1:8" x14ac:dyDescent="0.25">
      <c r="A1101" t="s">
        <v>157</v>
      </c>
      <c r="B1101" t="s">
        <v>383</v>
      </c>
      <c r="C1101">
        <v>8</v>
      </c>
      <c r="D1101">
        <v>1460.25</v>
      </c>
      <c r="E1101" s="19">
        <v>45428</v>
      </c>
      <c r="F1101">
        <v>1527.7</v>
      </c>
      <c r="G1101" s="19">
        <v>45439</v>
      </c>
      <c r="H1101">
        <v>-4.6190720766991982</v>
      </c>
    </row>
    <row r="1102" spans="1:8" x14ac:dyDescent="0.25">
      <c r="A1102" t="s">
        <v>157</v>
      </c>
      <c r="B1102" t="s">
        <v>385</v>
      </c>
      <c r="C1102">
        <v>23</v>
      </c>
      <c r="D1102">
        <v>1548.55</v>
      </c>
      <c r="E1102" s="19">
        <v>45391</v>
      </c>
      <c r="F1102">
        <v>1460.95</v>
      </c>
      <c r="G1102" s="19">
        <v>45426</v>
      </c>
      <c r="H1102">
        <v>-5.6569048464692706</v>
      </c>
    </row>
    <row r="1103" spans="1:8" x14ac:dyDescent="0.25">
      <c r="A1103" t="s">
        <v>157</v>
      </c>
      <c r="B1103" t="s">
        <v>383</v>
      </c>
      <c r="C1103">
        <v>51</v>
      </c>
      <c r="D1103">
        <v>1427.35</v>
      </c>
      <c r="E1103" s="19">
        <v>45314</v>
      </c>
      <c r="F1103">
        <v>1549.55</v>
      </c>
      <c r="G1103" s="19">
        <v>45387</v>
      </c>
      <c r="H1103">
        <v>-8.5613199285389054</v>
      </c>
    </row>
    <row r="1104" spans="1:8" x14ac:dyDescent="0.25">
      <c r="A1104" t="s">
        <v>157</v>
      </c>
      <c r="B1104" t="s">
        <v>385</v>
      </c>
      <c r="C1104">
        <v>33</v>
      </c>
      <c r="D1104">
        <v>1623.7</v>
      </c>
      <c r="E1104" s="19">
        <v>45265</v>
      </c>
      <c r="F1104">
        <v>1470.65</v>
      </c>
      <c r="G1104" s="19">
        <v>45310</v>
      </c>
      <c r="H1104">
        <v>-9.4260023403338025</v>
      </c>
    </row>
    <row r="1105" spans="1:8" x14ac:dyDescent="0.25">
      <c r="A1105" t="s">
        <v>157</v>
      </c>
      <c r="B1105" t="s">
        <v>383</v>
      </c>
      <c r="C1105">
        <v>74</v>
      </c>
      <c r="D1105">
        <v>1604</v>
      </c>
      <c r="E1105" s="19">
        <v>45154</v>
      </c>
      <c r="F1105">
        <v>1555.4</v>
      </c>
      <c r="G1105" s="19">
        <v>45261</v>
      </c>
      <c r="H1105">
        <v>3.0299251870324131</v>
      </c>
    </row>
    <row r="1106" spans="1:8" x14ac:dyDescent="0.25">
      <c r="A1106" t="s">
        <v>157</v>
      </c>
      <c r="B1106" t="s">
        <v>385</v>
      </c>
      <c r="C1106">
        <v>30</v>
      </c>
      <c r="D1106">
        <v>1721</v>
      </c>
      <c r="E1106" s="19">
        <v>45110</v>
      </c>
      <c r="F1106">
        <v>1620.8</v>
      </c>
      <c r="G1106" s="19">
        <v>45149</v>
      </c>
      <c r="H1106">
        <v>-5.8221963974433493</v>
      </c>
    </row>
    <row r="1107" spans="1:8" x14ac:dyDescent="0.25">
      <c r="A1107" t="s">
        <v>157</v>
      </c>
      <c r="B1107" t="s">
        <v>383</v>
      </c>
      <c r="C1107">
        <v>20</v>
      </c>
      <c r="D1107">
        <v>1604</v>
      </c>
      <c r="E1107" s="19">
        <v>45078</v>
      </c>
      <c r="F1107">
        <v>1672.25</v>
      </c>
      <c r="G1107" s="19">
        <v>45105</v>
      </c>
      <c r="H1107">
        <v>-4.2549875311720697</v>
      </c>
    </row>
    <row r="1108" spans="1:8" x14ac:dyDescent="0.25">
      <c r="A1108" t="s">
        <v>157</v>
      </c>
      <c r="B1108" t="s">
        <v>385</v>
      </c>
      <c r="C1108">
        <v>34</v>
      </c>
      <c r="D1108">
        <v>1663.3</v>
      </c>
      <c r="E1108" s="19">
        <v>45027</v>
      </c>
      <c r="F1108">
        <v>1636.75</v>
      </c>
      <c r="G1108" s="19">
        <v>45076</v>
      </c>
      <c r="H1108">
        <v>-1.5962243732339301</v>
      </c>
    </row>
    <row r="1109" spans="1:8" x14ac:dyDescent="0.25">
      <c r="A1109" t="s">
        <v>158</v>
      </c>
      <c r="B1109" t="s">
        <v>383</v>
      </c>
      <c r="C1109">
        <v>53</v>
      </c>
      <c r="D1109">
        <v>5216.2</v>
      </c>
      <c r="E1109" s="19">
        <v>45583</v>
      </c>
      <c r="F1109">
        <v>4243.1000000000004</v>
      </c>
      <c r="G1109" s="19">
        <v>45660</v>
      </c>
      <c r="H1109">
        <v>18.65534296997814</v>
      </c>
    </row>
    <row r="1110" spans="1:8" x14ac:dyDescent="0.25">
      <c r="A1110" t="s">
        <v>158</v>
      </c>
      <c r="B1110" t="s">
        <v>385</v>
      </c>
      <c r="C1110">
        <v>30</v>
      </c>
      <c r="D1110">
        <v>5683.75</v>
      </c>
      <c r="E1110" s="19">
        <v>45539</v>
      </c>
      <c r="F1110">
        <v>5398.2</v>
      </c>
      <c r="G1110" s="19">
        <v>45581</v>
      </c>
      <c r="H1110">
        <v>-5.023971849571149</v>
      </c>
    </row>
    <row r="1111" spans="1:8" x14ac:dyDescent="0.25">
      <c r="A1111" t="s">
        <v>158</v>
      </c>
      <c r="B1111" t="s">
        <v>383</v>
      </c>
      <c r="C1111">
        <v>15</v>
      </c>
      <c r="D1111">
        <v>5311.85</v>
      </c>
      <c r="E1111" s="19">
        <v>45516</v>
      </c>
      <c r="F1111">
        <v>5578.2</v>
      </c>
      <c r="G1111" s="19">
        <v>45537</v>
      </c>
      <c r="H1111">
        <v>-5.0142605683518822</v>
      </c>
    </row>
    <row r="1112" spans="1:8" x14ac:dyDescent="0.25">
      <c r="A1112" t="s">
        <v>158</v>
      </c>
      <c r="B1112" t="s">
        <v>385</v>
      </c>
      <c r="C1112">
        <v>63</v>
      </c>
      <c r="D1112">
        <v>4877.3999999999996</v>
      </c>
      <c r="E1112" s="19">
        <v>45422</v>
      </c>
      <c r="F1112">
        <v>5158.8999999999996</v>
      </c>
      <c r="G1112" s="19">
        <v>45512</v>
      </c>
      <c r="H1112">
        <v>5.7715176118423761</v>
      </c>
    </row>
    <row r="1113" spans="1:8" x14ac:dyDescent="0.25">
      <c r="A1113" t="s">
        <v>158</v>
      </c>
      <c r="B1113" t="s">
        <v>383</v>
      </c>
      <c r="C1113">
        <v>13</v>
      </c>
      <c r="D1113">
        <v>4213.7</v>
      </c>
      <c r="E1113" s="19">
        <v>45401</v>
      </c>
      <c r="F1113">
        <v>4613.8999999999996</v>
      </c>
      <c r="G1113" s="19">
        <v>45420</v>
      </c>
      <c r="H1113">
        <v>-9.4975911906400512</v>
      </c>
    </row>
    <row r="1114" spans="1:8" x14ac:dyDescent="0.25">
      <c r="A1114" t="s">
        <v>158</v>
      </c>
      <c r="B1114" t="s">
        <v>385</v>
      </c>
      <c r="C1114">
        <v>143</v>
      </c>
      <c r="D1114">
        <v>3114.65</v>
      </c>
      <c r="E1114" s="19">
        <v>45187</v>
      </c>
      <c r="F1114">
        <v>4322.8999999999996</v>
      </c>
      <c r="G1114" s="19">
        <v>45398</v>
      </c>
      <c r="H1114">
        <v>38.792480696065347</v>
      </c>
    </row>
    <row r="1115" spans="1:8" x14ac:dyDescent="0.25">
      <c r="A1115" t="s">
        <v>158</v>
      </c>
      <c r="B1115" t="s">
        <v>383</v>
      </c>
      <c r="C1115">
        <v>9</v>
      </c>
      <c r="D1115">
        <v>2942.85</v>
      </c>
      <c r="E1115" s="19">
        <v>45173</v>
      </c>
      <c r="F1115">
        <v>2998.4</v>
      </c>
      <c r="G1115" s="19">
        <v>45183</v>
      </c>
      <c r="H1115">
        <v>-1.8876259408396681</v>
      </c>
    </row>
    <row r="1116" spans="1:8" x14ac:dyDescent="0.25">
      <c r="A1116" t="s">
        <v>158</v>
      </c>
      <c r="B1116" t="s">
        <v>385</v>
      </c>
      <c r="C1116">
        <v>82</v>
      </c>
      <c r="D1116">
        <v>2576.35</v>
      </c>
      <c r="E1116" s="19">
        <v>45054</v>
      </c>
      <c r="F1116">
        <v>2920</v>
      </c>
      <c r="G1116" s="19">
        <v>45169</v>
      </c>
      <c r="H1116">
        <v>13.338637995613951</v>
      </c>
    </row>
    <row r="1117" spans="1:8" x14ac:dyDescent="0.25">
      <c r="A1117" t="s">
        <v>159</v>
      </c>
      <c r="B1117" t="s">
        <v>383</v>
      </c>
      <c r="C1117">
        <v>51</v>
      </c>
      <c r="D1117">
        <v>2681.7</v>
      </c>
      <c r="E1117" s="19">
        <v>45587</v>
      </c>
      <c r="F1117">
        <v>2406.25</v>
      </c>
      <c r="G1117" s="19">
        <v>45660</v>
      </c>
      <c r="H1117">
        <v>10.271469590185321</v>
      </c>
    </row>
    <row r="1118" spans="1:8" x14ac:dyDescent="0.25">
      <c r="A1118" t="s">
        <v>159</v>
      </c>
      <c r="B1118" t="s">
        <v>385</v>
      </c>
      <c r="C1118">
        <v>103</v>
      </c>
      <c r="D1118">
        <v>2382.5</v>
      </c>
      <c r="E1118" s="19">
        <v>45435</v>
      </c>
      <c r="F1118">
        <v>2717.1</v>
      </c>
      <c r="G1118" s="19">
        <v>45583</v>
      </c>
      <c r="H1118">
        <v>14.04407135362014</v>
      </c>
    </row>
    <row r="1119" spans="1:8" x14ac:dyDescent="0.25">
      <c r="A1119" t="s">
        <v>159</v>
      </c>
      <c r="B1119" t="s">
        <v>383</v>
      </c>
      <c r="C1119">
        <v>79</v>
      </c>
      <c r="D1119">
        <v>2441.65</v>
      </c>
      <c r="E1119" s="19">
        <v>45315</v>
      </c>
      <c r="F1119">
        <v>2310.6999999999998</v>
      </c>
      <c r="G1119" s="19">
        <v>45433</v>
      </c>
      <c r="H1119">
        <v>5.3631765404542122</v>
      </c>
    </row>
    <row r="1120" spans="1:8" x14ac:dyDescent="0.25">
      <c r="A1120" t="s">
        <v>159</v>
      </c>
      <c r="B1120" t="s">
        <v>385</v>
      </c>
      <c r="C1120">
        <v>35</v>
      </c>
      <c r="D1120">
        <v>2602.3000000000002</v>
      </c>
      <c r="E1120" s="19">
        <v>45264</v>
      </c>
      <c r="F1120">
        <v>2468.9</v>
      </c>
      <c r="G1120" s="19">
        <v>45311</v>
      </c>
      <c r="H1120">
        <v>-5.1262344848787649</v>
      </c>
    </row>
    <row r="1121" spans="1:8" x14ac:dyDescent="0.25">
      <c r="A1121" t="s">
        <v>159</v>
      </c>
      <c r="B1121" t="s">
        <v>383</v>
      </c>
      <c r="C1121">
        <v>85</v>
      </c>
      <c r="D1121">
        <v>2580</v>
      </c>
      <c r="E1121" s="19">
        <v>45135</v>
      </c>
      <c r="F1121">
        <v>2545.5500000000002</v>
      </c>
      <c r="G1121" s="19">
        <v>45260</v>
      </c>
      <c r="H1121">
        <v>1.33527131782945</v>
      </c>
    </row>
    <row r="1122" spans="1:8" x14ac:dyDescent="0.25">
      <c r="A1122" t="s">
        <v>159</v>
      </c>
      <c r="B1122" t="s">
        <v>385</v>
      </c>
      <c r="C1122">
        <v>52</v>
      </c>
      <c r="D1122">
        <v>2662.25</v>
      </c>
      <c r="E1122" s="19">
        <v>45061</v>
      </c>
      <c r="F1122">
        <v>2580.4</v>
      </c>
      <c r="G1122" s="19">
        <v>45133</v>
      </c>
      <c r="H1122">
        <v>-3.074467086111369</v>
      </c>
    </row>
    <row r="1123" spans="1:8" x14ac:dyDescent="0.25">
      <c r="A1123" t="s">
        <v>160</v>
      </c>
      <c r="B1123" t="s">
        <v>383</v>
      </c>
      <c r="C1123">
        <v>6</v>
      </c>
      <c r="D1123">
        <v>4233.3500000000004</v>
      </c>
      <c r="E1123" s="19">
        <v>45653</v>
      </c>
      <c r="F1123">
        <v>4206</v>
      </c>
      <c r="G1123" s="19">
        <v>45660</v>
      </c>
      <c r="H1123">
        <v>0.64606044858091971</v>
      </c>
    </row>
    <row r="1124" spans="1:8" x14ac:dyDescent="0.25">
      <c r="A1124" t="s">
        <v>160</v>
      </c>
      <c r="B1124" t="s">
        <v>385</v>
      </c>
      <c r="C1124">
        <v>12</v>
      </c>
      <c r="D1124">
        <v>4618.95</v>
      </c>
      <c r="E1124" s="19">
        <v>45635</v>
      </c>
      <c r="F1124">
        <v>4216.2</v>
      </c>
      <c r="G1124" s="19">
        <v>45650</v>
      </c>
      <c r="H1124">
        <v>-8.7195141752995813</v>
      </c>
    </row>
    <row r="1125" spans="1:8" x14ac:dyDescent="0.25">
      <c r="A1125" t="s">
        <v>160</v>
      </c>
      <c r="B1125" t="s">
        <v>383</v>
      </c>
      <c r="C1125">
        <v>82</v>
      </c>
      <c r="D1125">
        <v>4667.8500000000004</v>
      </c>
      <c r="E1125" s="19">
        <v>45512</v>
      </c>
      <c r="F1125">
        <v>4568.8500000000004</v>
      </c>
      <c r="G1125" s="19">
        <v>45631</v>
      </c>
      <c r="H1125">
        <v>2.1208907741251322</v>
      </c>
    </row>
    <row r="1126" spans="1:8" x14ac:dyDescent="0.25">
      <c r="A1126" t="s">
        <v>160</v>
      </c>
      <c r="B1126" t="s">
        <v>385</v>
      </c>
      <c r="C1126">
        <v>183</v>
      </c>
      <c r="D1126">
        <v>2058.9</v>
      </c>
      <c r="E1126" s="19">
        <v>45240</v>
      </c>
      <c r="F1126">
        <v>4514.3</v>
      </c>
      <c r="G1126" s="19">
        <v>45510</v>
      </c>
      <c r="H1126">
        <v>119.25785613677211</v>
      </c>
    </row>
    <row r="1127" spans="1:8" x14ac:dyDescent="0.25">
      <c r="A1127" t="s">
        <v>160</v>
      </c>
      <c r="B1127" t="s">
        <v>383</v>
      </c>
      <c r="C1127">
        <v>10</v>
      </c>
      <c r="D1127">
        <v>1819.45</v>
      </c>
      <c r="E1127" s="19">
        <v>45225</v>
      </c>
      <c r="F1127">
        <v>2044.55</v>
      </c>
      <c r="G1127" s="19">
        <v>45238</v>
      </c>
      <c r="H1127">
        <v>-12.37187062024238</v>
      </c>
    </row>
    <row r="1128" spans="1:8" x14ac:dyDescent="0.25">
      <c r="A1128" t="s">
        <v>160</v>
      </c>
      <c r="B1128" t="s">
        <v>385</v>
      </c>
      <c r="C1128">
        <v>164</v>
      </c>
      <c r="D1128">
        <v>1279.78</v>
      </c>
      <c r="E1128" s="19">
        <v>44979</v>
      </c>
      <c r="F1128">
        <v>1845.3</v>
      </c>
      <c r="G1128" s="19">
        <v>45222</v>
      </c>
      <c r="H1128">
        <v>44.188844957727113</v>
      </c>
    </row>
    <row r="1129" spans="1:8" x14ac:dyDescent="0.25">
      <c r="A1129" t="s">
        <v>161</v>
      </c>
      <c r="B1129" t="s">
        <v>383</v>
      </c>
      <c r="C1129">
        <v>68</v>
      </c>
      <c r="D1129">
        <v>239.65</v>
      </c>
      <c r="E1129" s="19">
        <v>45561</v>
      </c>
      <c r="F1129">
        <v>198.66</v>
      </c>
      <c r="G1129" s="19">
        <v>45660</v>
      </c>
      <c r="H1129">
        <v>17.104110160650951</v>
      </c>
    </row>
    <row r="1130" spans="1:8" x14ac:dyDescent="0.25">
      <c r="A1130" t="s">
        <v>161</v>
      </c>
      <c r="B1130" t="s">
        <v>385</v>
      </c>
      <c r="C1130">
        <v>64</v>
      </c>
      <c r="D1130">
        <v>200.76</v>
      </c>
      <c r="E1130" s="19">
        <v>45468</v>
      </c>
      <c r="F1130">
        <v>239.45</v>
      </c>
      <c r="G1130" s="19">
        <v>45559</v>
      </c>
      <c r="H1130">
        <v>19.271767284319591</v>
      </c>
    </row>
    <row r="1131" spans="1:8" x14ac:dyDescent="0.25">
      <c r="A1131" t="s">
        <v>161</v>
      </c>
      <c r="B1131" t="s">
        <v>383</v>
      </c>
      <c r="C1131">
        <v>11</v>
      </c>
      <c r="D1131">
        <v>181.4</v>
      </c>
      <c r="E1131" s="19">
        <v>45449</v>
      </c>
      <c r="F1131">
        <v>191.69</v>
      </c>
      <c r="G1131" s="19">
        <v>45464</v>
      </c>
      <c r="H1131">
        <v>-5.6725468577728728</v>
      </c>
    </row>
    <row r="1132" spans="1:8" x14ac:dyDescent="0.25">
      <c r="A1132" t="s">
        <v>161</v>
      </c>
      <c r="B1132" t="s">
        <v>385</v>
      </c>
      <c r="C1132">
        <v>36</v>
      </c>
      <c r="D1132">
        <v>191.8</v>
      </c>
      <c r="E1132" s="19">
        <v>45394</v>
      </c>
      <c r="F1132">
        <v>172.75</v>
      </c>
      <c r="G1132" s="19">
        <v>45447</v>
      </c>
      <c r="H1132">
        <v>-9.9322210636079316</v>
      </c>
    </row>
    <row r="1133" spans="1:8" x14ac:dyDescent="0.25">
      <c r="A1133" t="s">
        <v>161</v>
      </c>
      <c r="B1133" t="s">
        <v>383</v>
      </c>
      <c r="C1133">
        <v>16</v>
      </c>
      <c r="D1133">
        <v>164.2</v>
      </c>
      <c r="E1133" s="19">
        <v>45366</v>
      </c>
      <c r="F1133">
        <v>182</v>
      </c>
      <c r="G1133" s="19">
        <v>45391</v>
      </c>
      <c r="H1133">
        <v>-10.840438489646781</v>
      </c>
    </row>
    <row r="1134" spans="1:8" x14ac:dyDescent="0.25">
      <c r="A1134" t="s">
        <v>161</v>
      </c>
      <c r="B1134" t="s">
        <v>385</v>
      </c>
      <c r="C1134">
        <v>56</v>
      </c>
      <c r="D1134">
        <v>183.3</v>
      </c>
      <c r="E1134" s="19">
        <v>45286</v>
      </c>
      <c r="F1134">
        <v>159.15</v>
      </c>
      <c r="G1134" s="19">
        <v>45364</v>
      </c>
      <c r="H1134">
        <v>-13.175122749590839</v>
      </c>
    </row>
    <row r="1135" spans="1:8" x14ac:dyDescent="0.25">
      <c r="A1135" t="s">
        <v>161</v>
      </c>
      <c r="B1135" t="s">
        <v>383</v>
      </c>
      <c r="C1135">
        <v>82</v>
      </c>
      <c r="D1135">
        <v>156.65</v>
      </c>
      <c r="E1135" s="19">
        <v>45162</v>
      </c>
      <c r="F1135">
        <v>179.4</v>
      </c>
      <c r="G1135" s="19">
        <v>45281</v>
      </c>
      <c r="H1135">
        <v>-14.52282157676348</v>
      </c>
    </row>
    <row r="1136" spans="1:8" x14ac:dyDescent="0.25">
      <c r="A1136" t="s">
        <v>161</v>
      </c>
      <c r="B1136" t="s">
        <v>385</v>
      </c>
      <c r="C1136">
        <v>83</v>
      </c>
      <c r="D1136">
        <v>147.75</v>
      </c>
      <c r="E1136" s="19">
        <v>45041</v>
      </c>
      <c r="F1136">
        <v>168.25</v>
      </c>
      <c r="G1136" s="19">
        <v>45160</v>
      </c>
      <c r="H1136">
        <v>13.87478849407783</v>
      </c>
    </row>
    <row r="1137" spans="1:8" x14ac:dyDescent="0.25">
      <c r="A1137" t="s">
        <v>162</v>
      </c>
      <c r="B1137" t="s">
        <v>383</v>
      </c>
      <c r="C1137">
        <v>38</v>
      </c>
      <c r="D1137">
        <v>650.45000000000005</v>
      </c>
      <c r="E1137" s="19">
        <v>45604</v>
      </c>
      <c r="F1137">
        <v>591.15</v>
      </c>
      <c r="G1137" s="19">
        <v>45660</v>
      </c>
      <c r="H1137">
        <v>9.11676531631948</v>
      </c>
    </row>
    <row r="1138" spans="1:8" x14ac:dyDescent="0.25">
      <c r="A1138" t="s">
        <v>162</v>
      </c>
      <c r="B1138" t="s">
        <v>385</v>
      </c>
      <c r="C1138">
        <v>51</v>
      </c>
      <c r="D1138">
        <v>703.5</v>
      </c>
      <c r="E1138" s="19">
        <v>45531</v>
      </c>
      <c r="F1138">
        <v>708.2</v>
      </c>
      <c r="G1138" s="19">
        <v>45602</v>
      </c>
      <c r="H1138">
        <v>0.66808813077470441</v>
      </c>
    </row>
    <row r="1139" spans="1:8" x14ac:dyDescent="0.25">
      <c r="A1139" t="s">
        <v>162</v>
      </c>
      <c r="B1139" t="s">
        <v>383</v>
      </c>
      <c r="C1139">
        <v>13</v>
      </c>
      <c r="D1139">
        <v>610.29999999999995</v>
      </c>
      <c r="E1139" s="19">
        <v>45510</v>
      </c>
      <c r="F1139">
        <v>685.1</v>
      </c>
      <c r="G1139" s="19">
        <v>45527</v>
      </c>
      <c r="H1139">
        <v>-12.256267409470761</v>
      </c>
    </row>
    <row r="1140" spans="1:8" x14ac:dyDescent="0.25">
      <c r="A1140" t="s">
        <v>162</v>
      </c>
      <c r="B1140" t="s">
        <v>385</v>
      </c>
      <c r="C1140">
        <v>84</v>
      </c>
      <c r="D1140">
        <v>571.20000000000005</v>
      </c>
      <c r="E1140" s="19">
        <v>45384</v>
      </c>
      <c r="F1140">
        <v>648.04999999999995</v>
      </c>
      <c r="G1140" s="19">
        <v>45506</v>
      </c>
      <c r="H1140">
        <v>13.454131652661051</v>
      </c>
    </row>
    <row r="1141" spans="1:8" x14ac:dyDescent="0.25">
      <c r="A1141" t="s">
        <v>162</v>
      </c>
      <c r="B1141" t="s">
        <v>383</v>
      </c>
      <c r="C1141">
        <v>27</v>
      </c>
      <c r="D1141">
        <v>511.6</v>
      </c>
      <c r="E1141" s="19">
        <v>45342</v>
      </c>
      <c r="F1141">
        <v>560.25</v>
      </c>
      <c r="G1141" s="19">
        <v>45379</v>
      </c>
      <c r="H1141">
        <v>-9.5093823299452644</v>
      </c>
    </row>
    <row r="1142" spans="1:8" x14ac:dyDescent="0.25">
      <c r="A1142" t="s">
        <v>162</v>
      </c>
      <c r="B1142" t="s">
        <v>385</v>
      </c>
      <c r="C1142">
        <v>166</v>
      </c>
      <c r="D1142">
        <v>429</v>
      </c>
      <c r="E1142" s="19">
        <v>45097</v>
      </c>
      <c r="F1142">
        <v>515.70000000000005</v>
      </c>
      <c r="G1142" s="19">
        <v>45338</v>
      </c>
      <c r="H1142">
        <v>20.209790209790221</v>
      </c>
    </row>
    <row r="1143" spans="1:8" x14ac:dyDescent="0.25">
      <c r="A1143" t="s">
        <v>162</v>
      </c>
      <c r="B1143" t="s">
        <v>383</v>
      </c>
      <c r="C1143">
        <v>21</v>
      </c>
      <c r="D1143">
        <v>406.75</v>
      </c>
      <c r="E1143" s="19">
        <v>45065</v>
      </c>
      <c r="F1143">
        <v>426.95</v>
      </c>
      <c r="G1143" s="19">
        <v>45093</v>
      </c>
      <c r="H1143">
        <v>-4.9661954517516884</v>
      </c>
    </row>
    <row r="1144" spans="1:8" x14ac:dyDescent="0.25">
      <c r="A1144" t="s">
        <v>162</v>
      </c>
      <c r="B1144" t="s">
        <v>385</v>
      </c>
      <c r="C1144">
        <v>12</v>
      </c>
      <c r="D1144">
        <v>446.15</v>
      </c>
      <c r="E1144" s="19">
        <v>45048</v>
      </c>
      <c r="F1144">
        <v>407.7</v>
      </c>
      <c r="G1144" s="19">
        <v>45063</v>
      </c>
      <c r="H1144">
        <v>-8.6181777429115751</v>
      </c>
    </row>
    <row r="1145" spans="1:8" x14ac:dyDescent="0.25">
      <c r="A1145" t="s">
        <v>163</v>
      </c>
      <c r="B1145" t="s">
        <v>383</v>
      </c>
      <c r="C1145">
        <v>6</v>
      </c>
      <c r="D1145">
        <v>371.9</v>
      </c>
      <c r="E1145" s="19">
        <v>45653</v>
      </c>
      <c r="F1145">
        <v>367.7</v>
      </c>
      <c r="G1145" s="19">
        <v>45660</v>
      </c>
      <c r="H1145">
        <v>1.129335842968537</v>
      </c>
    </row>
    <row r="1146" spans="1:8" x14ac:dyDescent="0.25">
      <c r="A1146" t="s">
        <v>163</v>
      </c>
      <c r="B1146" t="s">
        <v>385</v>
      </c>
      <c r="C1146">
        <v>14</v>
      </c>
      <c r="D1146">
        <v>399.4</v>
      </c>
      <c r="E1146" s="19">
        <v>45631</v>
      </c>
      <c r="F1146">
        <v>372.45</v>
      </c>
      <c r="G1146" s="19">
        <v>45650</v>
      </c>
      <c r="H1146">
        <v>-6.7476214321482191</v>
      </c>
    </row>
    <row r="1147" spans="1:8" x14ac:dyDescent="0.25">
      <c r="A1147" t="s">
        <v>163</v>
      </c>
      <c r="B1147" t="s">
        <v>383</v>
      </c>
      <c r="C1147">
        <v>90</v>
      </c>
      <c r="D1147">
        <v>435.7</v>
      </c>
      <c r="E1147" s="19">
        <v>45498</v>
      </c>
      <c r="F1147">
        <v>404.3</v>
      </c>
      <c r="G1147" s="19">
        <v>45629</v>
      </c>
      <c r="H1147">
        <v>7.2067936653660718</v>
      </c>
    </row>
    <row r="1148" spans="1:8" x14ac:dyDescent="0.25">
      <c r="A1148" t="s">
        <v>163</v>
      </c>
      <c r="B1148" t="s">
        <v>385</v>
      </c>
      <c r="C1148">
        <v>20</v>
      </c>
      <c r="D1148">
        <v>477.6</v>
      </c>
      <c r="E1148" s="19">
        <v>45468</v>
      </c>
      <c r="F1148">
        <v>433</v>
      </c>
      <c r="G1148" s="19">
        <v>45496</v>
      </c>
      <c r="H1148">
        <v>-9.3383584589614781</v>
      </c>
    </row>
    <row r="1149" spans="1:8" x14ac:dyDescent="0.25">
      <c r="A1149" t="s">
        <v>163</v>
      </c>
      <c r="B1149" t="s">
        <v>383</v>
      </c>
      <c r="C1149">
        <v>93</v>
      </c>
      <c r="D1149">
        <v>529.79999999999995</v>
      </c>
      <c r="E1149" s="19">
        <v>45328</v>
      </c>
      <c r="F1149">
        <v>481.6</v>
      </c>
      <c r="G1149" s="19">
        <v>45464</v>
      </c>
      <c r="H1149">
        <v>9.0977727444318486</v>
      </c>
    </row>
    <row r="1150" spans="1:8" x14ac:dyDescent="0.25">
      <c r="A1150" t="s">
        <v>163</v>
      </c>
      <c r="B1150" t="s">
        <v>385</v>
      </c>
      <c r="C1150">
        <v>21</v>
      </c>
      <c r="D1150">
        <v>564.65</v>
      </c>
      <c r="E1150" s="19">
        <v>45295</v>
      </c>
      <c r="F1150">
        <v>533.79999999999995</v>
      </c>
      <c r="G1150" s="19">
        <v>45324</v>
      </c>
      <c r="H1150">
        <v>-5.463561498273271</v>
      </c>
    </row>
    <row r="1151" spans="1:8" x14ac:dyDescent="0.25">
      <c r="A1151" t="s">
        <v>163</v>
      </c>
      <c r="B1151" t="s">
        <v>383</v>
      </c>
      <c r="C1151">
        <v>99</v>
      </c>
      <c r="D1151">
        <v>590</v>
      </c>
      <c r="E1151" s="19">
        <v>45147</v>
      </c>
      <c r="F1151">
        <v>534.4</v>
      </c>
      <c r="G1151" s="19">
        <v>45293</v>
      </c>
      <c r="H1151">
        <v>9.4237288135593253</v>
      </c>
    </row>
    <row r="1152" spans="1:8" x14ac:dyDescent="0.25">
      <c r="A1152" t="s">
        <v>163</v>
      </c>
      <c r="B1152" t="s">
        <v>385</v>
      </c>
      <c r="C1152">
        <v>73</v>
      </c>
      <c r="D1152">
        <v>611.20000000000005</v>
      </c>
      <c r="E1152" s="19">
        <v>45041</v>
      </c>
      <c r="F1152">
        <v>640</v>
      </c>
      <c r="G1152" s="19">
        <v>45145</v>
      </c>
      <c r="H1152">
        <v>4.7120418848167462</v>
      </c>
    </row>
    <row r="1153" spans="1:8" x14ac:dyDescent="0.25">
      <c r="A1153" t="s">
        <v>164</v>
      </c>
      <c r="B1153" t="s">
        <v>385</v>
      </c>
      <c r="C1153">
        <v>269</v>
      </c>
      <c r="D1153">
        <v>1003.25</v>
      </c>
      <c r="E1153" s="19">
        <v>45266</v>
      </c>
      <c r="F1153">
        <v>1265.05</v>
      </c>
      <c r="G1153" s="19">
        <v>45660</v>
      </c>
      <c r="H1153">
        <v>26.095190630451029</v>
      </c>
    </row>
    <row r="1154" spans="1:8" x14ac:dyDescent="0.25">
      <c r="A1154" t="s">
        <v>164</v>
      </c>
      <c r="B1154" t="s">
        <v>383</v>
      </c>
      <c r="C1154">
        <v>44</v>
      </c>
      <c r="D1154">
        <v>951.9</v>
      </c>
      <c r="E1154" s="19">
        <v>45198</v>
      </c>
      <c r="F1154">
        <v>991.2</v>
      </c>
      <c r="G1154" s="19">
        <v>45264</v>
      </c>
      <c r="H1154">
        <v>-4.1285849353923796</v>
      </c>
    </row>
    <row r="1155" spans="1:8" x14ac:dyDescent="0.25">
      <c r="A1155" t="s">
        <v>164</v>
      </c>
      <c r="B1155" t="s">
        <v>385</v>
      </c>
      <c r="C1155">
        <v>118</v>
      </c>
      <c r="D1155">
        <v>868.45</v>
      </c>
      <c r="E1155" s="19">
        <v>45026</v>
      </c>
      <c r="F1155">
        <v>943.1</v>
      </c>
      <c r="G1155" s="19">
        <v>45196</v>
      </c>
      <c r="H1155">
        <v>8.595774080257927</v>
      </c>
    </row>
    <row r="1156" spans="1:8" x14ac:dyDescent="0.25">
      <c r="A1156" t="s">
        <v>166</v>
      </c>
      <c r="B1156" t="s">
        <v>383</v>
      </c>
      <c r="C1156">
        <v>50</v>
      </c>
      <c r="D1156">
        <v>2485.4</v>
      </c>
      <c r="E1156" s="19">
        <v>45588</v>
      </c>
      <c r="F1156">
        <v>2250.4</v>
      </c>
      <c r="G1156" s="19">
        <v>45660</v>
      </c>
      <c r="H1156">
        <v>9.455218475899251</v>
      </c>
    </row>
    <row r="1157" spans="1:8" x14ac:dyDescent="0.25">
      <c r="A1157" t="s">
        <v>166</v>
      </c>
      <c r="B1157" t="s">
        <v>385</v>
      </c>
      <c r="C1157">
        <v>80</v>
      </c>
      <c r="D1157">
        <v>2687.75</v>
      </c>
      <c r="E1157" s="19">
        <v>45470</v>
      </c>
      <c r="F1157">
        <v>2508.6</v>
      </c>
      <c r="G1157" s="19">
        <v>45586</v>
      </c>
      <c r="H1157">
        <v>-6.6654264719561001</v>
      </c>
    </row>
    <row r="1158" spans="1:8" x14ac:dyDescent="0.25">
      <c r="A1158" t="s">
        <v>166</v>
      </c>
      <c r="B1158" t="s">
        <v>383</v>
      </c>
      <c r="C1158">
        <v>22</v>
      </c>
      <c r="D1158">
        <v>2560.15</v>
      </c>
      <c r="E1158" s="19">
        <v>45436</v>
      </c>
      <c r="F1158">
        <v>2701.8</v>
      </c>
      <c r="G1158" s="19">
        <v>45468</v>
      </c>
      <c r="H1158">
        <v>-5.5328789328750299</v>
      </c>
    </row>
    <row r="1159" spans="1:8" x14ac:dyDescent="0.25">
      <c r="A1159" t="s">
        <v>166</v>
      </c>
      <c r="B1159" t="s">
        <v>385</v>
      </c>
      <c r="C1159">
        <v>14</v>
      </c>
      <c r="D1159">
        <v>2799.65</v>
      </c>
      <c r="E1159" s="19">
        <v>45415</v>
      </c>
      <c r="F1159">
        <v>2616.15</v>
      </c>
      <c r="G1159" s="19">
        <v>45434</v>
      </c>
      <c r="H1159">
        <v>-6.5543907274123558</v>
      </c>
    </row>
    <row r="1160" spans="1:8" x14ac:dyDescent="0.25">
      <c r="A1160" t="s">
        <v>166</v>
      </c>
      <c r="B1160" t="s">
        <v>383</v>
      </c>
      <c r="C1160">
        <v>33</v>
      </c>
      <c r="D1160">
        <v>2547.3000000000002</v>
      </c>
      <c r="E1160" s="19">
        <v>45362</v>
      </c>
      <c r="F1160">
        <v>2643.9</v>
      </c>
      <c r="G1160" s="19">
        <v>45412</v>
      </c>
      <c r="H1160">
        <v>-3.7922506183017282</v>
      </c>
    </row>
    <row r="1161" spans="1:8" x14ac:dyDescent="0.25">
      <c r="A1161" t="s">
        <v>166</v>
      </c>
      <c r="B1161" t="s">
        <v>385</v>
      </c>
      <c r="C1161">
        <v>14</v>
      </c>
      <c r="D1161">
        <v>2778</v>
      </c>
      <c r="E1161" s="19">
        <v>45341</v>
      </c>
      <c r="F1161">
        <v>2580.8000000000002</v>
      </c>
      <c r="G1161" s="19">
        <v>45357</v>
      </c>
      <c r="H1161">
        <v>-7.0986321094312386</v>
      </c>
    </row>
    <row r="1162" spans="1:8" x14ac:dyDescent="0.25">
      <c r="A1162" t="s">
        <v>166</v>
      </c>
      <c r="B1162" t="s">
        <v>383</v>
      </c>
      <c r="C1162">
        <v>25</v>
      </c>
      <c r="D1162">
        <v>2599.9</v>
      </c>
      <c r="E1162" s="19">
        <v>45302</v>
      </c>
      <c r="F1162">
        <v>2731.3</v>
      </c>
      <c r="G1162" s="19">
        <v>45337</v>
      </c>
      <c r="H1162">
        <v>-5.0540405400207744</v>
      </c>
    </row>
    <row r="1163" spans="1:8" x14ac:dyDescent="0.25">
      <c r="A1163" t="s">
        <v>166</v>
      </c>
      <c r="B1163" t="s">
        <v>385</v>
      </c>
      <c r="C1163">
        <v>9</v>
      </c>
      <c r="D1163">
        <v>2793.65</v>
      </c>
      <c r="E1163" s="19">
        <v>45288</v>
      </c>
      <c r="F1163">
        <v>2608.5500000000002</v>
      </c>
      <c r="G1163" s="19">
        <v>45300</v>
      </c>
      <c r="H1163">
        <v>-6.6257405186762801</v>
      </c>
    </row>
    <row r="1164" spans="1:8" x14ac:dyDescent="0.25">
      <c r="A1164" t="s">
        <v>166</v>
      </c>
      <c r="B1164" t="s">
        <v>383</v>
      </c>
      <c r="C1164">
        <v>59</v>
      </c>
      <c r="D1164">
        <v>2876.3</v>
      </c>
      <c r="E1164" s="19">
        <v>45198</v>
      </c>
      <c r="F1164">
        <v>2750.8</v>
      </c>
      <c r="G1164" s="19">
        <v>45286</v>
      </c>
      <c r="H1164">
        <v>4.3632444459896389</v>
      </c>
    </row>
    <row r="1165" spans="1:8" x14ac:dyDescent="0.25">
      <c r="A1165" t="s">
        <v>166</v>
      </c>
      <c r="B1165" t="s">
        <v>385</v>
      </c>
      <c r="C1165">
        <v>170</v>
      </c>
      <c r="D1165">
        <v>2239.75</v>
      </c>
      <c r="E1165" s="19">
        <v>44945</v>
      </c>
      <c r="F1165">
        <v>2911.05</v>
      </c>
      <c r="G1165" s="19">
        <v>45196</v>
      </c>
      <c r="H1165">
        <v>29.972095099899551</v>
      </c>
    </row>
    <row r="1166" spans="1:8" x14ac:dyDescent="0.25">
      <c r="A1166" t="s">
        <v>167</v>
      </c>
      <c r="B1166" t="s">
        <v>383</v>
      </c>
      <c r="C1166">
        <v>4</v>
      </c>
      <c r="D1166">
        <v>529.95000000000005</v>
      </c>
      <c r="E1166" s="19">
        <v>45657</v>
      </c>
      <c r="F1166">
        <v>524.35</v>
      </c>
      <c r="G1166" s="19">
        <v>45660</v>
      </c>
      <c r="H1166">
        <v>1.056703462590814</v>
      </c>
    </row>
    <row r="1167" spans="1:8" x14ac:dyDescent="0.25">
      <c r="A1167" t="s">
        <v>167</v>
      </c>
      <c r="B1167" t="s">
        <v>385</v>
      </c>
      <c r="C1167">
        <v>38</v>
      </c>
      <c r="D1167">
        <v>585.29999999999995</v>
      </c>
      <c r="E1167" s="19">
        <v>45597</v>
      </c>
      <c r="F1167">
        <v>547.20000000000005</v>
      </c>
      <c r="G1167" s="19">
        <v>45653</v>
      </c>
      <c r="H1167">
        <v>-6.5094823167606206</v>
      </c>
    </row>
    <row r="1168" spans="1:8" x14ac:dyDescent="0.25">
      <c r="A1168" t="s">
        <v>167</v>
      </c>
      <c r="B1168" t="s">
        <v>383</v>
      </c>
      <c r="C1168">
        <v>39</v>
      </c>
      <c r="D1168">
        <v>551</v>
      </c>
      <c r="E1168" s="19">
        <v>45540</v>
      </c>
      <c r="F1168">
        <v>588.1</v>
      </c>
      <c r="G1168" s="19">
        <v>45595</v>
      </c>
      <c r="H1168">
        <v>-6.7332123411978264</v>
      </c>
    </row>
    <row r="1169" spans="1:8" x14ac:dyDescent="0.25">
      <c r="A1169" t="s">
        <v>167</v>
      </c>
      <c r="B1169" t="s">
        <v>385</v>
      </c>
      <c r="C1169">
        <v>289</v>
      </c>
      <c r="D1169">
        <v>305.05</v>
      </c>
      <c r="E1169" s="19">
        <v>45113</v>
      </c>
      <c r="F1169">
        <v>550.04999999999995</v>
      </c>
      <c r="G1169" s="19">
        <v>45538</v>
      </c>
      <c r="H1169">
        <v>80.314702507785583</v>
      </c>
    </row>
    <row r="1170" spans="1:8" x14ac:dyDescent="0.25">
      <c r="A1170" t="s">
        <v>167</v>
      </c>
      <c r="B1170" t="s">
        <v>383</v>
      </c>
      <c r="C1170">
        <v>27</v>
      </c>
      <c r="D1170">
        <v>277.3</v>
      </c>
      <c r="E1170" s="19">
        <v>45072</v>
      </c>
      <c r="F1170">
        <v>300</v>
      </c>
      <c r="G1170" s="19">
        <v>45111</v>
      </c>
      <c r="H1170">
        <v>-8.1860800576992379</v>
      </c>
    </row>
    <row r="1171" spans="1:8" x14ac:dyDescent="0.25">
      <c r="A1171" t="s">
        <v>167</v>
      </c>
      <c r="B1171" t="s">
        <v>385</v>
      </c>
      <c r="C1171">
        <v>31</v>
      </c>
      <c r="D1171">
        <v>282.14999999999998</v>
      </c>
      <c r="E1171" s="19">
        <v>45026</v>
      </c>
      <c r="F1171">
        <v>285.7</v>
      </c>
      <c r="G1171" s="19">
        <v>45070</v>
      </c>
      <c r="H1171">
        <v>1.258195995038105</v>
      </c>
    </row>
    <row r="1172" spans="1:8" x14ac:dyDescent="0.25">
      <c r="A1172" t="s">
        <v>168</v>
      </c>
      <c r="B1172" t="s">
        <v>385</v>
      </c>
      <c r="C1172">
        <v>141</v>
      </c>
      <c r="D1172">
        <v>584.5</v>
      </c>
      <c r="E1172" s="19">
        <v>45455</v>
      </c>
      <c r="F1172">
        <v>872.45</v>
      </c>
      <c r="G1172" s="19">
        <v>45660</v>
      </c>
      <c r="H1172">
        <v>49.264328485885379</v>
      </c>
    </row>
    <row r="1173" spans="1:8" x14ac:dyDescent="0.25">
      <c r="A1173" t="s">
        <v>168</v>
      </c>
      <c r="B1173" t="s">
        <v>383</v>
      </c>
      <c r="C1173">
        <v>6</v>
      </c>
      <c r="D1173">
        <v>576.5</v>
      </c>
      <c r="E1173" s="19">
        <v>45446</v>
      </c>
      <c r="F1173">
        <v>582.29999999999995</v>
      </c>
      <c r="G1173" s="19">
        <v>45453</v>
      </c>
      <c r="H1173">
        <v>-1.006071118820461</v>
      </c>
    </row>
    <row r="1174" spans="1:8" x14ac:dyDescent="0.25">
      <c r="A1174" t="s">
        <v>168</v>
      </c>
      <c r="B1174" t="s">
        <v>385</v>
      </c>
      <c r="C1174">
        <v>131</v>
      </c>
      <c r="D1174">
        <v>419.6</v>
      </c>
      <c r="E1174" s="19">
        <v>45250</v>
      </c>
      <c r="F1174">
        <v>557.20000000000005</v>
      </c>
      <c r="G1174" s="19">
        <v>45442</v>
      </c>
      <c r="H1174">
        <v>32.793136320305052</v>
      </c>
    </row>
    <row r="1175" spans="1:8" x14ac:dyDescent="0.25">
      <c r="A1175" t="s">
        <v>168</v>
      </c>
      <c r="B1175" t="s">
        <v>383</v>
      </c>
      <c r="C1175">
        <v>15</v>
      </c>
      <c r="D1175">
        <v>374.55</v>
      </c>
      <c r="E1175" s="19">
        <v>45226</v>
      </c>
      <c r="F1175">
        <v>412.65</v>
      </c>
      <c r="G1175" s="19">
        <v>45246</v>
      </c>
      <c r="H1175">
        <v>-10.172206647977561</v>
      </c>
    </row>
    <row r="1176" spans="1:8" x14ac:dyDescent="0.25">
      <c r="A1176" t="s">
        <v>168</v>
      </c>
      <c r="B1176" t="s">
        <v>385</v>
      </c>
      <c r="C1176">
        <v>157</v>
      </c>
      <c r="D1176">
        <v>319.25</v>
      </c>
      <c r="E1176" s="19">
        <v>44991</v>
      </c>
      <c r="F1176">
        <v>389.55</v>
      </c>
      <c r="G1176" s="19">
        <v>45224</v>
      </c>
      <c r="H1176">
        <v>22.0203602192639</v>
      </c>
    </row>
    <row r="1177" spans="1:8" x14ac:dyDescent="0.25">
      <c r="A1177" t="s">
        <v>169</v>
      </c>
      <c r="B1177" t="s">
        <v>385</v>
      </c>
      <c r="C1177">
        <v>38</v>
      </c>
      <c r="D1177">
        <v>784.8</v>
      </c>
      <c r="E1177" s="19">
        <v>45604</v>
      </c>
      <c r="F1177">
        <v>900.9</v>
      </c>
      <c r="G1177" s="19">
        <v>45660</v>
      </c>
      <c r="H1177">
        <v>14.79357798165138</v>
      </c>
    </row>
    <row r="1178" spans="1:8" x14ac:dyDescent="0.25">
      <c r="A1178" t="s">
        <v>169</v>
      </c>
      <c r="B1178" t="s">
        <v>383</v>
      </c>
      <c r="C1178">
        <v>8</v>
      </c>
      <c r="D1178">
        <v>651.9</v>
      </c>
      <c r="E1178" s="19">
        <v>45593</v>
      </c>
      <c r="F1178">
        <v>715.25</v>
      </c>
      <c r="G1178" s="19">
        <v>45602</v>
      </c>
      <c r="H1178">
        <v>-9.7177481208774399</v>
      </c>
    </row>
    <row r="1179" spans="1:8" x14ac:dyDescent="0.25">
      <c r="A1179" t="s">
        <v>169</v>
      </c>
      <c r="B1179" t="s">
        <v>385</v>
      </c>
      <c r="C1179">
        <v>9</v>
      </c>
      <c r="D1179">
        <v>715.05</v>
      </c>
      <c r="E1179" s="19">
        <v>45579</v>
      </c>
      <c r="F1179">
        <v>653.75</v>
      </c>
      <c r="G1179" s="19">
        <v>45589</v>
      </c>
      <c r="H1179">
        <v>-8.5728270750297124</v>
      </c>
    </row>
    <row r="1180" spans="1:8" x14ac:dyDescent="0.25">
      <c r="A1180" t="s">
        <v>169</v>
      </c>
      <c r="B1180" t="s">
        <v>383</v>
      </c>
      <c r="C1180">
        <v>50</v>
      </c>
      <c r="D1180">
        <v>738.05</v>
      </c>
      <c r="E1180" s="19">
        <v>45504</v>
      </c>
      <c r="F1180">
        <v>689</v>
      </c>
      <c r="G1180" s="19">
        <v>45575</v>
      </c>
      <c r="H1180">
        <v>6.6458911997832066</v>
      </c>
    </row>
    <row r="1181" spans="1:8" x14ac:dyDescent="0.25">
      <c r="A1181" t="s">
        <v>169</v>
      </c>
      <c r="B1181" t="s">
        <v>385</v>
      </c>
      <c r="C1181">
        <v>274</v>
      </c>
      <c r="D1181">
        <v>308.5</v>
      </c>
      <c r="E1181" s="19">
        <v>45098</v>
      </c>
      <c r="F1181">
        <v>723.9</v>
      </c>
      <c r="G1181" s="19">
        <v>45502</v>
      </c>
      <c r="H1181">
        <v>134.6515397082658</v>
      </c>
    </row>
    <row r="1182" spans="1:8" x14ac:dyDescent="0.25">
      <c r="A1182" t="s">
        <v>169</v>
      </c>
      <c r="B1182" t="s">
        <v>383</v>
      </c>
      <c r="C1182">
        <v>53</v>
      </c>
      <c r="D1182">
        <v>287</v>
      </c>
      <c r="E1182" s="19">
        <v>45016</v>
      </c>
      <c r="F1182">
        <v>292</v>
      </c>
      <c r="G1182" s="19">
        <v>45096</v>
      </c>
      <c r="H1182">
        <v>-1.7421602787456441</v>
      </c>
    </row>
    <row r="1183" spans="1:8" x14ac:dyDescent="0.25">
      <c r="A1183" t="s">
        <v>170</v>
      </c>
      <c r="B1183" t="s">
        <v>383</v>
      </c>
      <c r="C1183">
        <v>5</v>
      </c>
      <c r="D1183">
        <v>329.45</v>
      </c>
      <c r="E1183" s="19">
        <v>45656</v>
      </c>
      <c r="F1183">
        <v>344.1</v>
      </c>
      <c r="G1183" s="19">
        <v>45660</v>
      </c>
      <c r="H1183">
        <v>-4.4468052815298327</v>
      </c>
    </row>
    <row r="1184" spans="1:8" x14ac:dyDescent="0.25">
      <c r="A1184" t="s">
        <v>170</v>
      </c>
      <c r="B1184" t="s">
        <v>385</v>
      </c>
      <c r="C1184">
        <v>7</v>
      </c>
      <c r="D1184">
        <v>399.5</v>
      </c>
      <c r="E1184" s="19">
        <v>45643</v>
      </c>
      <c r="F1184">
        <v>323.7</v>
      </c>
      <c r="G1184" s="19">
        <v>45652</v>
      </c>
      <c r="H1184">
        <v>-18.973717146433049</v>
      </c>
    </row>
    <row r="1185" spans="1:8" x14ac:dyDescent="0.25">
      <c r="A1185" t="s">
        <v>170</v>
      </c>
      <c r="B1185" t="s">
        <v>383</v>
      </c>
      <c r="C1185">
        <v>51</v>
      </c>
      <c r="D1185">
        <v>383.85</v>
      </c>
      <c r="E1185" s="19">
        <v>45566</v>
      </c>
      <c r="F1185">
        <v>399.5</v>
      </c>
      <c r="G1185" s="19">
        <v>45639</v>
      </c>
      <c r="H1185">
        <v>-4.0771134557769901</v>
      </c>
    </row>
    <row r="1186" spans="1:8" x14ac:dyDescent="0.25">
      <c r="A1186" t="s">
        <v>170</v>
      </c>
      <c r="B1186" t="s">
        <v>385</v>
      </c>
      <c r="C1186">
        <v>25</v>
      </c>
      <c r="D1186">
        <v>407.7</v>
      </c>
      <c r="E1186" s="19">
        <v>45530</v>
      </c>
      <c r="F1186">
        <v>388.6</v>
      </c>
      <c r="G1186" s="19">
        <v>45562</v>
      </c>
      <c r="H1186">
        <v>-4.6848172675987163</v>
      </c>
    </row>
    <row r="1187" spans="1:8" x14ac:dyDescent="0.25">
      <c r="A1187" t="s">
        <v>170</v>
      </c>
      <c r="B1187" t="s">
        <v>383</v>
      </c>
      <c r="C1187">
        <v>5</v>
      </c>
      <c r="D1187">
        <v>378.3</v>
      </c>
      <c r="E1187" s="19">
        <v>45520</v>
      </c>
      <c r="F1187">
        <v>409.05</v>
      </c>
      <c r="G1187" s="19">
        <v>45526</v>
      </c>
      <c r="H1187">
        <v>-8.1284694686756538</v>
      </c>
    </row>
    <row r="1188" spans="1:8" x14ac:dyDescent="0.25">
      <c r="A1188" t="s">
        <v>170</v>
      </c>
      <c r="B1188" t="s">
        <v>385</v>
      </c>
      <c r="C1188">
        <v>33</v>
      </c>
      <c r="D1188">
        <v>388.1</v>
      </c>
      <c r="E1188" s="19">
        <v>45470</v>
      </c>
      <c r="F1188">
        <v>368.2</v>
      </c>
      <c r="G1188" s="19">
        <v>45517</v>
      </c>
      <c r="H1188">
        <v>-5.1275444473074039</v>
      </c>
    </row>
    <row r="1189" spans="1:8" x14ac:dyDescent="0.25">
      <c r="A1189" t="s">
        <v>170</v>
      </c>
      <c r="B1189" t="s">
        <v>383</v>
      </c>
      <c r="C1189">
        <v>13</v>
      </c>
      <c r="D1189">
        <v>345.65</v>
      </c>
      <c r="E1189" s="19">
        <v>45449</v>
      </c>
      <c r="F1189">
        <v>366</v>
      </c>
      <c r="G1189" s="19">
        <v>45468</v>
      </c>
      <c r="H1189">
        <v>-5.8874584116881312</v>
      </c>
    </row>
    <row r="1190" spans="1:8" x14ac:dyDescent="0.25">
      <c r="A1190" t="s">
        <v>170</v>
      </c>
      <c r="B1190" t="s">
        <v>385</v>
      </c>
      <c r="C1190">
        <v>67</v>
      </c>
      <c r="D1190">
        <v>351.85</v>
      </c>
      <c r="E1190" s="19">
        <v>45348</v>
      </c>
      <c r="F1190">
        <v>329.35</v>
      </c>
      <c r="G1190" s="19">
        <v>45447</v>
      </c>
      <c r="H1190">
        <v>-6.3947704987920986</v>
      </c>
    </row>
    <row r="1191" spans="1:8" x14ac:dyDescent="0.25">
      <c r="A1191" t="s">
        <v>170</v>
      </c>
      <c r="B1191" t="s">
        <v>383</v>
      </c>
      <c r="C1191">
        <v>21</v>
      </c>
      <c r="D1191">
        <v>275.2</v>
      </c>
      <c r="E1191" s="19">
        <v>45315</v>
      </c>
      <c r="F1191">
        <v>305.35000000000002</v>
      </c>
      <c r="G1191" s="19">
        <v>45344</v>
      </c>
      <c r="H1191">
        <v>-10.955668604651169</v>
      </c>
    </row>
    <row r="1192" spans="1:8" x14ac:dyDescent="0.25">
      <c r="A1192" t="s">
        <v>170</v>
      </c>
      <c r="B1192" t="s">
        <v>385</v>
      </c>
      <c r="C1192">
        <v>190</v>
      </c>
      <c r="D1192">
        <v>137.9</v>
      </c>
      <c r="E1192" s="19">
        <v>45036</v>
      </c>
      <c r="F1192">
        <v>278</v>
      </c>
      <c r="G1192" s="19">
        <v>45311</v>
      </c>
      <c r="H1192">
        <v>101.59535895576499</v>
      </c>
    </row>
    <row r="1193" spans="1:8" x14ac:dyDescent="0.25">
      <c r="A1193" t="s">
        <v>171</v>
      </c>
      <c r="B1193" t="s">
        <v>383</v>
      </c>
      <c r="C1193">
        <v>53</v>
      </c>
      <c r="D1193">
        <v>451.7</v>
      </c>
      <c r="E1193" s="19">
        <v>45583</v>
      </c>
      <c r="F1193">
        <v>441.35</v>
      </c>
      <c r="G1193" s="19">
        <v>45660</v>
      </c>
      <c r="H1193">
        <v>2.29134381226477</v>
      </c>
    </row>
    <row r="1194" spans="1:8" x14ac:dyDescent="0.25">
      <c r="A1194" t="s">
        <v>171</v>
      </c>
      <c r="B1194" t="s">
        <v>385</v>
      </c>
      <c r="C1194">
        <v>132</v>
      </c>
      <c r="D1194">
        <v>460.1</v>
      </c>
      <c r="E1194" s="19">
        <v>45387</v>
      </c>
      <c r="F1194">
        <v>518.54999999999995</v>
      </c>
      <c r="G1194" s="19">
        <v>45581</v>
      </c>
      <c r="H1194">
        <v>12.70376005216256</v>
      </c>
    </row>
    <row r="1195" spans="1:8" x14ac:dyDescent="0.25">
      <c r="A1195" t="s">
        <v>171</v>
      </c>
      <c r="B1195" t="s">
        <v>383</v>
      </c>
      <c r="C1195">
        <v>12</v>
      </c>
      <c r="D1195">
        <v>412.55</v>
      </c>
      <c r="E1195" s="19">
        <v>45366</v>
      </c>
      <c r="F1195">
        <v>441.35</v>
      </c>
      <c r="G1195" s="19">
        <v>45385</v>
      </c>
      <c r="H1195">
        <v>-6.9809720033935303</v>
      </c>
    </row>
    <row r="1196" spans="1:8" x14ac:dyDescent="0.25">
      <c r="A1196" t="s">
        <v>171</v>
      </c>
      <c r="B1196" t="s">
        <v>385</v>
      </c>
      <c r="C1196">
        <v>48</v>
      </c>
      <c r="D1196">
        <v>430.85</v>
      </c>
      <c r="E1196" s="19">
        <v>45296</v>
      </c>
      <c r="F1196">
        <v>407.55</v>
      </c>
      <c r="G1196" s="19">
        <v>45364</v>
      </c>
      <c r="H1196">
        <v>-5.407914587443428</v>
      </c>
    </row>
    <row r="1197" spans="1:8" x14ac:dyDescent="0.25">
      <c r="A1197" t="s">
        <v>171</v>
      </c>
      <c r="B1197" t="s">
        <v>383</v>
      </c>
      <c r="C1197">
        <v>50</v>
      </c>
      <c r="D1197">
        <v>392.3</v>
      </c>
      <c r="E1197" s="19">
        <v>45222</v>
      </c>
      <c r="F1197">
        <v>422.2</v>
      </c>
      <c r="G1197" s="19">
        <v>45294</v>
      </c>
      <c r="H1197">
        <v>-7.6217180729033842</v>
      </c>
    </row>
    <row r="1198" spans="1:8" x14ac:dyDescent="0.25">
      <c r="A1198" t="s">
        <v>171</v>
      </c>
      <c r="B1198" t="s">
        <v>385</v>
      </c>
      <c r="C1198">
        <v>4</v>
      </c>
      <c r="D1198">
        <v>481.05</v>
      </c>
      <c r="E1198" s="19">
        <v>45215</v>
      </c>
      <c r="F1198">
        <v>457.65</v>
      </c>
      <c r="G1198" s="19">
        <v>45218</v>
      </c>
      <c r="H1198">
        <v>-4.8643592142189034</v>
      </c>
    </row>
    <row r="1199" spans="1:8" x14ac:dyDescent="0.25">
      <c r="A1199" t="s">
        <v>171</v>
      </c>
      <c r="B1199" t="s">
        <v>383</v>
      </c>
      <c r="C1199">
        <v>10</v>
      </c>
      <c r="D1199">
        <v>449.8</v>
      </c>
      <c r="E1199" s="19">
        <v>45197</v>
      </c>
      <c r="F1199">
        <v>478.2</v>
      </c>
      <c r="G1199" s="19">
        <v>45211</v>
      </c>
      <c r="H1199">
        <v>-6.3139172965762507</v>
      </c>
    </row>
    <row r="1200" spans="1:8" x14ac:dyDescent="0.25">
      <c r="A1200" t="s">
        <v>171</v>
      </c>
      <c r="B1200" t="s">
        <v>385</v>
      </c>
      <c r="C1200">
        <v>7</v>
      </c>
      <c r="D1200">
        <v>473.4</v>
      </c>
      <c r="E1200" s="19">
        <v>45184</v>
      </c>
      <c r="F1200">
        <v>455</v>
      </c>
      <c r="G1200" s="19">
        <v>45195</v>
      </c>
      <c r="H1200">
        <v>-3.88677651035065</v>
      </c>
    </row>
    <row r="1201" spans="1:8" x14ac:dyDescent="0.25">
      <c r="A1201" t="s">
        <v>171</v>
      </c>
      <c r="B1201" t="s">
        <v>383</v>
      </c>
      <c r="C1201">
        <v>31</v>
      </c>
      <c r="D1201">
        <v>460.4</v>
      </c>
      <c r="E1201" s="19">
        <v>45139</v>
      </c>
      <c r="F1201">
        <v>462.35</v>
      </c>
      <c r="G1201" s="19">
        <v>45182</v>
      </c>
      <c r="H1201">
        <v>-0.42354474370113943</v>
      </c>
    </row>
    <row r="1202" spans="1:8" x14ac:dyDescent="0.25">
      <c r="A1202" t="s">
        <v>171</v>
      </c>
      <c r="B1202" t="s">
        <v>385</v>
      </c>
      <c r="C1202">
        <v>19</v>
      </c>
      <c r="D1202">
        <v>479</v>
      </c>
      <c r="E1202" s="19">
        <v>45111</v>
      </c>
      <c r="F1202">
        <v>461.8</v>
      </c>
      <c r="G1202" s="19">
        <v>45135</v>
      </c>
      <c r="H1202">
        <v>-3.5908141962421691</v>
      </c>
    </row>
    <row r="1203" spans="1:8" x14ac:dyDescent="0.25">
      <c r="A1203" t="s">
        <v>171</v>
      </c>
      <c r="B1203" t="s">
        <v>383</v>
      </c>
      <c r="C1203">
        <v>10</v>
      </c>
      <c r="D1203">
        <v>468</v>
      </c>
      <c r="E1203" s="19">
        <v>45093</v>
      </c>
      <c r="F1203">
        <v>473</v>
      </c>
      <c r="G1203" s="19">
        <v>45107</v>
      </c>
      <c r="H1203">
        <v>-1.0683760683760679</v>
      </c>
    </row>
    <row r="1204" spans="1:8" x14ac:dyDescent="0.25">
      <c r="A1204" t="s">
        <v>171</v>
      </c>
      <c r="B1204" t="s">
        <v>385</v>
      </c>
      <c r="C1204">
        <v>84</v>
      </c>
      <c r="D1204">
        <v>433.15</v>
      </c>
      <c r="E1204" s="19">
        <v>44966</v>
      </c>
      <c r="F1204">
        <v>469.45</v>
      </c>
      <c r="G1204" s="19">
        <v>45091</v>
      </c>
      <c r="H1204">
        <v>8.3804686598176179</v>
      </c>
    </row>
    <row r="1205" spans="1:8" x14ac:dyDescent="0.25">
      <c r="A1205" t="s">
        <v>172</v>
      </c>
      <c r="B1205" t="s">
        <v>383</v>
      </c>
      <c r="C1205">
        <v>66</v>
      </c>
      <c r="D1205">
        <v>390.05</v>
      </c>
      <c r="E1205" s="19">
        <v>45565</v>
      </c>
      <c r="F1205">
        <v>344</v>
      </c>
      <c r="G1205" s="19">
        <v>45660</v>
      </c>
      <c r="H1205">
        <v>11.806178695039099</v>
      </c>
    </row>
    <row r="1206" spans="1:8" x14ac:dyDescent="0.25">
      <c r="A1206" t="s">
        <v>172</v>
      </c>
      <c r="B1206" t="s">
        <v>385</v>
      </c>
      <c r="C1206">
        <v>329</v>
      </c>
      <c r="D1206">
        <v>160.05000000000001</v>
      </c>
      <c r="E1206" s="19">
        <v>45079</v>
      </c>
      <c r="F1206">
        <v>393.75</v>
      </c>
      <c r="G1206" s="19">
        <v>45561</v>
      </c>
      <c r="H1206">
        <v>146.01686972820991</v>
      </c>
    </row>
    <row r="1207" spans="1:8" x14ac:dyDescent="0.25">
      <c r="A1207" t="s">
        <v>172</v>
      </c>
      <c r="B1207" t="s">
        <v>383</v>
      </c>
      <c r="C1207">
        <v>107</v>
      </c>
      <c r="D1207">
        <v>189.5</v>
      </c>
      <c r="E1207" s="19">
        <v>44918</v>
      </c>
      <c r="F1207">
        <v>153.85</v>
      </c>
      <c r="G1207" s="19">
        <v>45077</v>
      </c>
      <c r="H1207">
        <v>18.812664907651719</v>
      </c>
    </row>
    <row r="1208" spans="1:8" x14ac:dyDescent="0.25">
      <c r="A1208" t="s">
        <v>173</v>
      </c>
      <c r="B1208" t="s">
        <v>385</v>
      </c>
      <c r="C1208">
        <v>9</v>
      </c>
      <c r="D1208">
        <v>411.95</v>
      </c>
      <c r="E1208" s="19">
        <v>45649</v>
      </c>
      <c r="F1208">
        <v>425.75</v>
      </c>
      <c r="G1208" s="19">
        <v>45660</v>
      </c>
      <c r="H1208">
        <v>3.3499211069304562</v>
      </c>
    </row>
    <row r="1209" spans="1:8" x14ac:dyDescent="0.25">
      <c r="A1209" t="s">
        <v>173</v>
      </c>
      <c r="B1209" t="s">
        <v>383</v>
      </c>
      <c r="C1209">
        <v>43</v>
      </c>
      <c r="D1209">
        <v>419.1</v>
      </c>
      <c r="E1209" s="19">
        <v>45583</v>
      </c>
      <c r="F1209">
        <v>441.05</v>
      </c>
      <c r="G1209" s="19">
        <v>45645</v>
      </c>
      <c r="H1209">
        <v>-5.2374135051300366</v>
      </c>
    </row>
    <row r="1210" spans="1:8" x14ac:dyDescent="0.25">
      <c r="A1210" t="s">
        <v>173</v>
      </c>
      <c r="B1210" t="s">
        <v>385</v>
      </c>
      <c r="C1210">
        <v>82</v>
      </c>
      <c r="D1210">
        <v>420.7</v>
      </c>
      <c r="E1210" s="19">
        <v>45463</v>
      </c>
      <c r="F1210">
        <v>432.9</v>
      </c>
      <c r="G1210" s="19">
        <v>45581</v>
      </c>
      <c r="H1210">
        <v>2.899928690278105</v>
      </c>
    </row>
    <row r="1211" spans="1:8" x14ac:dyDescent="0.25">
      <c r="A1211" t="s">
        <v>173</v>
      </c>
      <c r="B1211" t="s">
        <v>383</v>
      </c>
      <c r="C1211">
        <v>96</v>
      </c>
      <c r="D1211">
        <v>434</v>
      </c>
      <c r="E1211" s="19">
        <v>45320</v>
      </c>
      <c r="F1211">
        <v>412.5</v>
      </c>
      <c r="G1211" s="19">
        <v>45461</v>
      </c>
      <c r="H1211">
        <v>4.9539170506912447</v>
      </c>
    </row>
    <row r="1212" spans="1:8" x14ac:dyDescent="0.25">
      <c r="A1212" t="s">
        <v>173</v>
      </c>
      <c r="B1212" t="s">
        <v>385</v>
      </c>
      <c r="C1212">
        <v>39</v>
      </c>
      <c r="D1212">
        <v>453.65</v>
      </c>
      <c r="E1212" s="19">
        <v>45260</v>
      </c>
      <c r="F1212">
        <v>436</v>
      </c>
      <c r="G1212" s="19">
        <v>45315</v>
      </c>
      <c r="H1212">
        <v>-3.890664609280277</v>
      </c>
    </row>
    <row r="1213" spans="1:8" x14ac:dyDescent="0.25">
      <c r="A1213" t="s">
        <v>173</v>
      </c>
      <c r="B1213" t="s">
        <v>383</v>
      </c>
      <c r="C1213">
        <v>19</v>
      </c>
      <c r="D1213">
        <v>413.15</v>
      </c>
      <c r="E1213" s="19">
        <v>45231</v>
      </c>
      <c r="F1213">
        <v>458</v>
      </c>
      <c r="G1213" s="19">
        <v>45258</v>
      </c>
      <c r="H1213">
        <v>-10.855621444995769</v>
      </c>
    </row>
    <row r="1214" spans="1:8" x14ac:dyDescent="0.25">
      <c r="A1214" t="s">
        <v>173</v>
      </c>
      <c r="B1214" t="s">
        <v>385</v>
      </c>
      <c r="C1214">
        <v>39</v>
      </c>
      <c r="D1214">
        <v>431.3</v>
      </c>
      <c r="E1214" s="19">
        <v>45170</v>
      </c>
      <c r="F1214">
        <v>423.35</v>
      </c>
      <c r="G1214" s="19">
        <v>45229</v>
      </c>
      <c r="H1214">
        <v>-1.8432645490377899</v>
      </c>
    </row>
    <row r="1215" spans="1:8" x14ac:dyDescent="0.25">
      <c r="A1215" t="s">
        <v>173</v>
      </c>
      <c r="B1215" t="s">
        <v>383</v>
      </c>
      <c r="C1215">
        <v>37</v>
      </c>
      <c r="D1215">
        <v>372.55</v>
      </c>
      <c r="E1215" s="19">
        <v>45117</v>
      </c>
      <c r="F1215">
        <v>436.3</v>
      </c>
      <c r="G1215" s="19">
        <v>45168</v>
      </c>
      <c r="H1215">
        <v>-17.11179707421822</v>
      </c>
    </row>
    <row r="1216" spans="1:8" x14ac:dyDescent="0.25">
      <c r="A1216" t="s">
        <v>173</v>
      </c>
      <c r="B1216" t="s">
        <v>385</v>
      </c>
      <c r="C1216">
        <v>57</v>
      </c>
      <c r="D1216">
        <v>381</v>
      </c>
      <c r="E1216" s="19">
        <v>45033</v>
      </c>
      <c r="F1216">
        <v>380.55</v>
      </c>
      <c r="G1216" s="19">
        <v>45113</v>
      </c>
      <c r="H1216">
        <v>-0.1181102362204694</v>
      </c>
    </row>
    <row r="1217" spans="1:8" x14ac:dyDescent="0.25">
      <c r="A1217" t="s">
        <v>174</v>
      </c>
      <c r="B1217" t="s">
        <v>383</v>
      </c>
      <c r="C1217">
        <v>1</v>
      </c>
      <c r="D1217">
        <v>663.6</v>
      </c>
      <c r="E1217" s="19">
        <v>45660</v>
      </c>
      <c r="F1217">
        <v>663.6</v>
      </c>
      <c r="G1217" s="19">
        <v>45660</v>
      </c>
      <c r="H1217">
        <v>0</v>
      </c>
    </row>
    <row r="1218" spans="1:8" x14ac:dyDescent="0.25">
      <c r="A1218" t="s">
        <v>174</v>
      </c>
      <c r="B1218" t="s">
        <v>385</v>
      </c>
      <c r="C1218">
        <v>20</v>
      </c>
      <c r="D1218">
        <v>693.9</v>
      </c>
      <c r="E1218" s="19">
        <v>45630</v>
      </c>
      <c r="F1218">
        <v>654.35</v>
      </c>
      <c r="G1218" s="19">
        <v>45658</v>
      </c>
      <c r="H1218">
        <v>-5.6996685401354599</v>
      </c>
    </row>
    <row r="1219" spans="1:8" x14ac:dyDescent="0.25">
      <c r="A1219" t="s">
        <v>174</v>
      </c>
      <c r="B1219" t="s">
        <v>383</v>
      </c>
      <c r="C1219">
        <v>9</v>
      </c>
      <c r="D1219">
        <v>640.29999999999995</v>
      </c>
      <c r="E1219" s="19">
        <v>45615</v>
      </c>
      <c r="F1219">
        <v>688.95</v>
      </c>
      <c r="G1219" s="19">
        <v>45628</v>
      </c>
      <c r="H1219">
        <v>-7.5980009370607684</v>
      </c>
    </row>
    <row r="1220" spans="1:8" x14ac:dyDescent="0.25">
      <c r="A1220" t="s">
        <v>174</v>
      </c>
      <c r="B1220" t="s">
        <v>385</v>
      </c>
      <c r="C1220">
        <v>10</v>
      </c>
      <c r="D1220">
        <v>694.2</v>
      </c>
      <c r="E1220" s="19">
        <v>45597</v>
      </c>
      <c r="F1220">
        <v>634.6</v>
      </c>
      <c r="G1220" s="19">
        <v>45610</v>
      </c>
      <c r="H1220">
        <v>-8.5854220685681391</v>
      </c>
    </row>
    <row r="1221" spans="1:8" x14ac:dyDescent="0.25">
      <c r="A1221" t="s">
        <v>174</v>
      </c>
      <c r="B1221" t="s">
        <v>383</v>
      </c>
      <c r="C1221">
        <v>19</v>
      </c>
      <c r="D1221">
        <v>655.6</v>
      </c>
      <c r="E1221" s="19">
        <v>45569</v>
      </c>
      <c r="F1221">
        <v>668.3</v>
      </c>
      <c r="G1221" s="19">
        <v>45595</v>
      </c>
      <c r="H1221">
        <v>-1.9371568029286039</v>
      </c>
    </row>
    <row r="1222" spans="1:8" x14ac:dyDescent="0.25">
      <c r="A1222" t="s">
        <v>174</v>
      </c>
      <c r="B1222" t="s">
        <v>385</v>
      </c>
      <c r="C1222">
        <v>66</v>
      </c>
      <c r="D1222">
        <v>574.5</v>
      </c>
      <c r="E1222" s="19">
        <v>45471</v>
      </c>
      <c r="F1222">
        <v>640.25</v>
      </c>
      <c r="G1222" s="19">
        <v>45566</v>
      </c>
      <c r="H1222">
        <v>11.44473455178416</v>
      </c>
    </row>
    <row r="1223" spans="1:8" x14ac:dyDescent="0.25">
      <c r="A1223" t="s">
        <v>174</v>
      </c>
      <c r="B1223" t="s">
        <v>383</v>
      </c>
      <c r="C1223">
        <v>16</v>
      </c>
      <c r="D1223">
        <v>486.2</v>
      </c>
      <c r="E1223" s="19">
        <v>45447</v>
      </c>
      <c r="F1223">
        <v>542.04999999999995</v>
      </c>
      <c r="G1223" s="19">
        <v>45469</v>
      </c>
      <c r="H1223">
        <v>-11.487042369395301</v>
      </c>
    </row>
    <row r="1224" spans="1:8" x14ac:dyDescent="0.25">
      <c r="A1224" t="s">
        <v>174</v>
      </c>
      <c r="B1224" t="s">
        <v>385</v>
      </c>
      <c r="C1224">
        <v>36</v>
      </c>
      <c r="D1224">
        <v>531.4</v>
      </c>
      <c r="E1224" s="19">
        <v>45391</v>
      </c>
      <c r="F1224">
        <v>510.1</v>
      </c>
      <c r="G1224" s="19">
        <v>45443</v>
      </c>
      <c r="H1224">
        <v>-4.0082800150545648</v>
      </c>
    </row>
    <row r="1225" spans="1:8" x14ac:dyDescent="0.25">
      <c r="A1225" t="s">
        <v>174</v>
      </c>
      <c r="B1225" t="s">
        <v>383</v>
      </c>
      <c r="C1225">
        <v>56</v>
      </c>
      <c r="D1225">
        <v>554.29999999999995</v>
      </c>
      <c r="E1225" s="19">
        <v>45307</v>
      </c>
      <c r="F1225">
        <v>536.1</v>
      </c>
      <c r="G1225" s="19">
        <v>45387</v>
      </c>
      <c r="H1225">
        <v>3.283420530398689</v>
      </c>
    </row>
    <row r="1226" spans="1:8" x14ac:dyDescent="0.25">
      <c r="A1226" t="s">
        <v>174</v>
      </c>
      <c r="B1226" t="s">
        <v>385</v>
      </c>
      <c r="C1226">
        <v>339</v>
      </c>
      <c r="D1226">
        <v>202.72</v>
      </c>
      <c r="E1226" s="19">
        <v>44806</v>
      </c>
      <c r="F1226">
        <v>558</v>
      </c>
      <c r="G1226" s="19">
        <v>45303</v>
      </c>
      <c r="H1226">
        <v>175.2565114443567</v>
      </c>
    </row>
    <row r="1227" spans="1:8" x14ac:dyDescent="0.25">
      <c r="A1227" t="s">
        <v>175</v>
      </c>
      <c r="B1227" t="s">
        <v>383</v>
      </c>
      <c r="C1227">
        <v>50</v>
      </c>
      <c r="D1227">
        <v>480.35</v>
      </c>
      <c r="E1227" s="19">
        <v>45588</v>
      </c>
      <c r="F1227">
        <v>481.6</v>
      </c>
      <c r="G1227" s="19">
        <v>45660</v>
      </c>
      <c r="H1227">
        <v>-0.26022691787238472</v>
      </c>
    </row>
    <row r="1228" spans="1:8" x14ac:dyDescent="0.25">
      <c r="A1228" t="s">
        <v>175</v>
      </c>
      <c r="B1228" t="s">
        <v>385</v>
      </c>
      <c r="C1228">
        <v>72</v>
      </c>
      <c r="D1228">
        <v>452.6</v>
      </c>
      <c r="E1228" s="19">
        <v>45482</v>
      </c>
      <c r="F1228">
        <v>483.65</v>
      </c>
      <c r="G1228" s="19">
        <v>45586</v>
      </c>
      <c r="H1228">
        <v>6.8603623508616778</v>
      </c>
    </row>
    <row r="1229" spans="1:8" x14ac:dyDescent="0.25">
      <c r="A1229" t="s">
        <v>175</v>
      </c>
      <c r="B1229" t="s">
        <v>383</v>
      </c>
      <c r="C1229">
        <v>11</v>
      </c>
      <c r="D1229">
        <v>419.6</v>
      </c>
      <c r="E1229" s="19">
        <v>45464</v>
      </c>
      <c r="F1229">
        <v>433.65</v>
      </c>
      <c r="G1229" s="19">
        <v>45478</v>
      </c>
      <c r="H1229">
        <v>-3.3484270734032302</v>
      </c>
    </row>
    <row r="1230" spans="1:8" x14ac:dyDescent="0.25">
      <c r="A1230" t="s">
        <v>175</v>
      </c>
      <c r="B1230" t="s">
        <v>385</v>
      </c>
      <c r="C1230">
        <v>43</v>
      </c>
      <c r="D1230">
        <v>418.85</v>
      </c>
      <c r="E1230" s="19">
        <v>45400</v>
      </c>
      <c r="F1230">
        <v>423.65</v>
      </c>
      <c r="G1230" s="19">
        <v>45462</v>
      </c>
      <c r="H1230">
        <v>1.1459949862719241</v>
      </c>
    </row>
    <row r="1231" spans="1:8" x14ac:dyDescent="0.25">
      <c r="A1231" t="s">
        <v>175</v>
      </c>
      <c r="B1231" t="s">
        <v>383</v>
      </c>
      <c r="C1231">
        <v>48</v>
      </c>
      <c r="D1231">
        <v>438.05</v>
      </c>
      <c r="E1231" s="19">
        <v>45327</v>
      </c>
      <c r="F1231">
        <v>425.9</v>
      </c>
      <c r="G1231" s="19">
        <v>45397</v>
      </c>
      <c r="H1231">
        <v>2.7736559753452878</v>
      </c>
    </row>
    <row r="1232" spans="1:8" x14ac:dyDescent="0.25">
      <c r="A1232" t="s">
        <v>175</v>
      </c>
      <c r="B1232" t="s">
        <v>385</v>
      </c>
      <c r="C1232">
        <v>40</v>
      </c>
      <c r="D1232">
        <v>463.25</v>
      </c>
      <c r="E1232" s="19">
        <v>45266</v>
      </c>
      <c r="F1232">
        <v>442.9</v>
      </c>
      <c r="G1232" s="19">
        <v>45323</v>
      </c>
      <c r="H1232">
        <v>-4.3928764166216991</v>
      </c>
    </row>
    <row r="1233" spans="1:8" x14ac:dyDescent="0.25">
      <c r="A1233" t="s">
        <v>175</v>
      </c>
      <c r="B1233" t="s">
        <v>383</v>
      </c>
      <c r="C1233">
        <v>71</v>
      </c>
      <c r="D1233">
        <v>454.4</v>
      </c>
      <c r="E1233" s="19">
        <v>45160</v>
      </c>
      <c r="F1233">
        <v>454.05</v>
      </c>
      <c r="G1233" s="19">
        <v>45264</v>
      </c>
      <c r="H1233">
        <v>7.7024647887316444E-2</v>
      </c>
    </row>
    <row r="1234" spans="1:8" x14ac:dyDescent="0.25">
      <c r="A1234" t="s">
        <v>175</v>
      </c>
      <c r="B1234" t="s">
        <v>385</v>
      </c>
      <c r="C1234">
        <v>136</v>
      </c>
      <c r="D1234">
        <v>352.35</v>
      </c>
      <c r="E1234" s="19">
        <v>44957</v>
      </c>
      <c r="F1234">
        <v>441</v>
      </c>
      <c r="G1234" s="19">
        <v>45156</v>
      </c>
      <c r="H1234">
        <v>25.159642401021699</v>
      </c>
    </row>
    <row r="1235" spans="1:8" x14ac:dyDescent="0.25">
      <c r="A1235" t="s">
        <v>176</v>
      </c>
      <c r="B1235" t="s">
        <v>385</v>
      </c>
      <c r="C1235">
        <v>9</v>
      </c>
      <c r="D1235">
        <v>1859.7</v>
      </c>
      <c r="E1235" s="19">
        <v>45649</v>
      </c>
      <c r="F1235">
        <v>1867.6</v>
      </c>
      <c r="G1235" s="19">
        <v>45660</v>
      </c>
      <c r="H1235">
        <v>0.42479969887615548</v>
      </c>
    </row>
    <row r="1236" spans="1:8" x14ac:dyDescent="0.25">
      <c r="A1236" t="s">
        <v>176</v>
      </c>
      <c r="B1236" t="s">
        <v>383</v>
      </c>
      <c r="C1236">
        <v>26</v>
      </c>
      <c r="D1236">
        <v>1779.55</v>
      </c>
      <c r="E1236" s="19">
        <v>45608</v>
      </c>
      <c r="F1236">
        <v>1913.25</v>
      </c>
      <c r="G1236" s="19">
        <v>45645</v>
      </c>
      <c r="H1236">
        <v>-7.5131353432047447</v>
      </c>
    </row>
    <row r="1237" spans="1:8" x14ac:dyDescent="0.25">
      <c r="A1237" t="s">
        <v>176</v>
      </c>
      <c r="B1237" t="s">
        <v>385</v>
      </c>
      <c r="C1237">
        <v>10</v>
      </c>
      <c r="D1237">
        <v>1869.5</v>
      </c>
      <c r="E1237" s="19">
        <v>45593</v>
      </c>
      <c r="F1237">
        <v>1840.7</v>
      </c>
      <c r="G1237" s="19">
        <v>45604</v>
      </c>
      <c r="H1237">
        <v>-1.540518855308904</v>
      </c>
    </row>
    <row r="1238" spans="1:8" x14ac:dyDescent="0.25">
      <c r="A1238" t="s">
        <v>176</v>
      </c>
      <c r="B1238" t="s">
        <v>383</v>
      </c>
      <c r="C1238">
        <v>15</v>
      </c>
      <c r="D1238">
        <v>1715.15</v>
      </c>
      <c r="E1238" s="19">
        <v>45569</v>
      </c>
      <c r="F1238">
        <v>1897.2</v>
      </c>
      <c r="G1238" s="19">
        <v>45589</v>
      </c>
      <c r="H1238">
        <v>-10.61423199137101</v>
      </c>
    </row>
    <row r="1239" spans="1:8" x14ac:dyDescent="0.25">
      <c r="A1239" t="s">
        <v>176</v>
      </c>
      <c r="B1239" t="s">
        <v>385</v>
      </c>
      <c r="C1239">
        <v>49</v>
      </c>
      <c r="D1239">
        <v>1858.8</v>
      </c>
      <c r="E1239" s="19">
        <v>45497</v>
      </c>
      <c r="F1239">
        <v>1834.95</v>
      </c>
      <c r="G1239" s="19">
        <v>45566</v>
      </c>
      <c r="H1239">
        <v>-1.283085861846347</v>
      </c>
    </row>
    <row r="1240" spans="1:8" x14ac:dyDescent="0.25">
      <c r="A1240" t="s">
        <v>176</v>
      </c>
      <c r="B1240" t="s">
        <v>383</v>
      </c>
      <c r="C1240">
        <v>8</v>
      </c>
      <c r="D1240">
        <v>1725.95</v>
      </c>
      <c r="E1240" s="19">
        <v>45483</v>
      </c>
      <c r="F1240">
        <v>1812.05</v>
      </c>
      <c r="G1240" s="19">
        <v>45495</v>
      </c>
      <c r="H1240">
        <v>-4.9885570265650747</v>
      </c>
    </row>
    <row r="1241" spans="1:8" x14ac:dyDescent="0.25">
      <c r="A1241" t="s">
        <v>176</v>
      </c>
      <c r="B1241" t="s">
        <v>385</v>
      </c>
      <c r="C1241">
        <v>65</v>
      </c>
      <c r="D1241">
        <v>1684.3</v>
      </c>
      <c r="E1241" s="19">
        <v>45385</v>
      </c>
      <c r="F1241">
        <v>1737.65</v>
      </c>
      <c r="G1241" s="19">
        <v>45481</v>
      </c>
      <c r="H1241">
        <v>3.167487977201219</v>
      </c>
    </row>
    <row r="1242" spans="1:8" x14ac:dyDescent="0.25">
      <c r="A1242" t="s">
        <v>176</v>
      </c>
      <c r="B1242" t="s">
        <v>383</v>
      </c>
      <c r="C1242">
        <v>16</v>
      </c>
      <c r="D1242">
        <v>1568.75</v>
      </c>
      <c r="E1242" s="19">
        <v>45356</v>
      </c>
      <c r="F1242">
        <v>1695.55</v>
      </c>
      <c r="G1242" s="19">
        <v>45383</v>
      </c>
      <c r="H1242">
        <v>-8.0828685258964104</v>
      </c>
    </row>
    <row r="1243" spans="1:8" x14ac:dyDescent="0.25">
      <c r="A1243" t="s">
        <v>176</v>
      </c>
      <c r="B1243" t="s">
        <v>385</v>
      </c>
      <c r="C1243">
        <v>190</v>
      </c>
      <c r="D1243">
        <v>1058.3800000000001</v>
      </c>
      <c r="E1243" s="19">
        <v>45078</v>
      </c>
      <c r="F1243">
        <v>1539.9</v>
      </c>
      <c r="G1243" s="19">
        <v>45353</v>
      </c>
      <c r="H1243">
        <v>45.495946635423948</v>
      </c>
    </row>
    <row r="1244" spans="1:8" x14ac:dyDescent="0.25">
      <c r="A1244" t="s">
        <v>176</v>
      </c>
      <c r="B1244" t="s">
        <v>383</v>
      </c>
      <c r="C1244">
        <v>5</v>
      </c>
      <c r="D1244">
        <v>960.03</v>
      </c>
      <c r="E1244" s="19">
        <v>45070</v>
      </c>
      <c r="F1244">
        <v>1058.4000000000001</v>
      </c>
      <c r="G1244" s="19">
        <v>45076</v>
      </c>
      <c r="H1244">
        <v>-10.246554795162661</v>
      </c>
    </row>
    <row r="1245" spans="1:8" x14ac:dyDescent="0.25">
      <c r="A1245" t="s">
        <v>176</v>
      </c>
      <c r="B1245" t="s">
        <v>385</v>
      </c>
      <c r="C1245">
        <v>28</v>
      </c>
      <c r="D1245">
        <v>1014.6</v>
      </c>
      <c r="E1245" s="19">
        <v>45027</v>
      </c>
      <c r="F1245">
        <v>981.78</v>
      </c>
      <c r="G1245" s="19">
        <v>45068</v>
      </c>
      <c r="H1245">
        <v>-3.234772324068603</v>
      </c>
    </row>
    <row r="1246" spans="1:8" x14ac:dyDescent="0.25">
      <c r="A1246" t="s">
        <v>177</v>
      </c>
      <c r="B1246" t="s">
        <v>385</v>
      </c>
      <c r="C1246">
        <v>20</v>
      </c>
      <c r="D1246">
        <v>4596.6499999999996</v>
      </c>
      <c r="E1246" s="19">
        <v>45632</v>
      </c>
      <c r="F1246">
        <v>4726.55</v>
      </c>
      <c r="G1246" s="19">
        <v>45660</v>
      </c>
      <c r="H1246">
        <v>2.8259710876399242</v>
      </c>
    </row>
    <row r="1247" spans="1:8" x14ac:dyDescent="0.25">
      <c r="A1247" t="s">
        <v>177</v>
      </c>
      <c r="B1247" t="s">
        <v>383</v>
      </c>
      <c r="C1247">
        <v>35</v>
      </c>
      <c r="D1247">
        <v>4323.6499999999996</v>
      </c>
      <c r="E1247" s="19">
        <v>45580</v>
      </c>
      <c r="F1247">
        <v>4632.55</v>
      </c>
      <c r="G1247" s="19">
        <v>45630</v>
      </c>
      <c r="H1247">
        <v>-7.1444265840204597</v>
      </c>
    </row>
    <row r="1248" spans="1:8" x14ac:dyDescent="0.25">
      <c r="A1248" t="s">
        <v>177</v>
      </c>
      <c r="B1248" t="s">
        <v>385</v>
      </c>
      <c r="C1248">
        <v>82</v>
      </c>
      <c r="D1248">
        <v>4326.7</v>
      </c>
      <c r="E1248" s="19">
        <v>45457</v>
      </c>
      <c r="F1248">
        <v>4238.75</v>
      </c>
      <c r="G1248" s="19">
        <v>45576</v>
      </c>
      <c r="H1248">
        <v>-2.032727020593057</v>
      </c>
    </row>
    <row r="1249" spans="1:8" x14ac:dyDescent="0.25">
      <c r="A1249" t="s">
        <v>177</v>
      </c>
      <c r="B1249" t="s">
        <v>383</v>
      </c>
      <c r="C1249">
        <v>33</v>
      </c>
      <c r="D1249">
        <v>4072.6</v>
      </c>
      <c r="E1249" s="19">
        <v>45408</v>
      </c>
      <c r="F1249">
        <v>4248.55</v>
      </c>
      <c r="G1249" s="19">
        <v>45455</v>
      </c>
      <c r="H1249">
        <v>-4.3203359033541293</v>
      </c>
    </row>
    <row r="1250" spans="1:8" x14ac:dyDescent="0.25">
      <c r="A1250" t="s">
        <v>177</v>
      </c>
      <c r="B1250" t="s">
        <v>385</v>
      </c>
      <c r="C1250">
        <v>11</v>
      </c>
      <c r="D1250">
        <v>4390.75</v>
      </c>
      <c r="E1250" s="19">
        <v>45390</v>
      </c>
      <c r="F1250">
        <v>4175.25</v>
      </c>
      <c r="G1250" s="19">
        <v>45406</v>
      </c>
      <c r="H1250">
        <v>-4.908045322553094</v>
      </c>
    </row>
    <row r="1251" spans="1:8" x14ac:dyDescent="0.25">
      <c r="A1251" t="s">
        <v>177</v>
      </c>
      <c r="B1251" t="s">
        <v>383</v>
      </c>
      <c r="C1251">
        <v>5</v>
      </c>
      <c r="D1251">
        <v>4076.15</v>
      </c>
      <c r="E1251" s="19">
        <v>45379</v>
      </c>
      <c r="F1251">
        <v>4354.2</v>
      </c>
      <c r="G1251" s="19">
        <v>45386</v>
      </c>
      <c r="H1251">
        <v>-6.8213878292015684</v>
      </c>
    </row>
    <row r="1252" spans="1:8" x14ac:dyDescent="0.25">
      <c r="A1252" t="s">
        <v>177</v>
      </c>
      <c r="B1252" t="s">
        <v>385</v>
      </c>
      <c r="C1252">
        <v>95</v>
      </c>
      <c r="D1252">
        <v>3390.4</v>
      </c>
      <c r="E1252" s="19">
        <v>45239</v>
      </c>
      <c r="F1252">
        <v>4046</v>
      </c>
      <c r="G1252" s="19">
        <v>45377</v>
      </c>
      <c r="H1252">
        <v>19.33695139216611</v>
      </c>
    </row>
    <row r="1253" spans="1:8" x14ac:dyDescent="0.25">
      <c r="A1253" t="s">
        <v>177</v>
      </c>
      <c r="B1253" t="s">
        <v>383</v>
      </c>
      <c r="C1253">
        <v>9</v>
      </c>
      <c r="D1253">
        <v>3097.7</v>
      </c>
      <c r="E1253" s="19">
        <v>45225</v>
      </c>
      <c r="F1253">
        <v>3364.95</v>
      </c>
      <c r="G1253" s="19">
        <v>45237</v>
      </c>
      <c r="H1253">
        <v>-8.6273686929011859</v>
      </c>
    </row>
    <row r="1254" spans="1:8" x14ac:dyDescent="0.25">
      <c r="A1254" t="s">
        <v>177</v>
      </c>
      <c r="B1254" t="s">
        <v>385</v>
      </c>
      <c r="C1254">
        <v>2</v>
      </c>
      <c r="D1254">
        <v>3295.05</v>
      </c>
      <c r="E1254" s="19">
        <v>45219</v>
      </c>
      <c r="F1254">
        <v>3168.8</v>
      </c>
      <c r="G1254" s="19">
        <v>45222</v>
      </c>
      <c r="H1254">
        <v>-3.8315048330070862</v>
      </c>
    </row>
    <row r="1255" spans="1:8" x14ac:dyDescent="0.25">
      <c r="A1255" t="s">
        <v>177</v>
      </c>
      <c r="B1255" t="s">
        <v>383</v>
      </c>
      <c r="C1255">
        <v>15</v>
      </c>
      <c r="D1255">
        <v>3200</v>
      </c>
      <c r="E1255" s="19">
        <v>45196</v>
      </c>
      <c r="F1255">
        <v>3297.1</v>
      </c>
      <c r="G1255" s="19">
        <v>45217</v>
      </c>
      <c r="H1255">
        <v>-3.0343749999999972</v>
      </c>
    </row>
    <row r="1256" spans="1:8" x14ac:dyDescent="0.25">
      <c r="A1256" t="s">
        <v>177</v>
      </c>
      <c r="B1256" t="s">
        <v>385</v>
      </c>
      <c r="C1256">
        <v>13</v>
      </c>
      <c r="D1256">
        <v>3406.35</v>
      </c>
      <c r="E1256" s="19">
        <v>45175</v>
      </c>
      <c r="F1256">
        <v>3146</v>
      </c>
      <c r="G1256" s="19">
        <v>45194</v>
      </c>
      <c r="H1256">
        <v>-7.6430783683414774</v>
      </c>
    </row>
    <row r="1257" spans="1:8" x14ac:dyDescent="0.25">
      <c r="A1257" t="s">
        <v>177</v>
      </c>
      <c r="B1257" t="s">
        <v>383</v>
      </c>
      <c r="C1257">
        <v>12</v>
      </c>
      <c r="D1257">
        <v>3067.25</v>
      </c>
      <c r="E1257" s="19">
        <v>45156</v>
      </c>
      <c r="F1257">
        <v>3325.25</v>
      </c>
      <c r="G1257" s="19">
        <v>45173</v>
      </c>
      <c r="H1257">
        <v>-8.4114434754258696</v>
      </c>
    </row>
    <row r="1258" spans="1:8" x14ac:dyDescent="0.25">
      <c r="A1258" t="s">
        <v>177</v>
      </c>
      <c r="B1258" t="s">
        <v>385</v>
      </c>
      <c r="C1258">
        <v>93</v>
      </c>
      <c r="D1258">
        <v>2916.15</v>
      </c>
      <c r="E1258" s="19">
        <v>45016</v>
      </c>
      <c r="F1258">
        <v>3130</v>
      </c>
      <c r="G1258" s="19">
        <v>45154</v>
      </c>
      <c r="H1258">
        <v>7.3332990415444987</v>
      </c>
    </row>
    <row r="1259" spans="1:8" x14ac:dyDescent="0.25">
      <c r="A1259" t="s">
        <v>178</v>
      </c>
      <c r="B1259" t="s">
        <v>385</v>
      </c>
      <c r="C1259">
        <v>18</v>
      </c>
      <c r="D1259">
        <v>784</v>
      </c>
      <c r="E1259" s="19">
        <v>45636</v>
      </c>
      <c r="F1259">
        <v>767.95</v>
      </c>
      <c r="G1259" s="19">
        <v>45660</v>
      </c>
      <c r="H1259">
        <v>-2.047193877551015</v>
      </c>
    </row>
    <row r="1260" spans="1:8" x14ac:dyDescent="0.25">
      <c r="A1260" t="s">
        <v>178</v>
      </c>
      <c r="B1260" t="s">
        <v>383</v>
      </c>
      <c r="C1260">
        <v>61</v>
      </c>
      <c r="D1260">
        <v>780.95</v>
      </c>
      <c r="E1260" s="19">
        <v>45545</v>
      </c>
      <c r="F1260">
        <v>785.35</v>
      </c>
      <c r="G1260" s="19">
        <v>45632</v>
      </c>
      <c r="H1260">
        <v>-0.56341635187911865</v>
      </c>
    </row>
    <row r="1261" spans="1:8" x14ac:dyDescent="0.25">
      <c r="A1261" t="s">
        <v>178</v>
      </c>
      <c r="B1261" t="s">
        <v>385</v>
      </c>
      <c r="C1261">
        <v>341</v>
      </c>
      <c r="D1261">
        <v>274.5</v>
      </c>
      <c r="E1261" s="19">
        <v>45042</v>
      </c>
      <c r="F1261">
        <v>789.2</v>
      </c>
      <c r="G1261" s="19">
        <v>45541</v>
      </c>
      <c r="H1261">
        <v>187.50455373406189</v>
      </c>
    </row>
    <row r="1262" spans="1:8" x14ac:dyDescent="0.25">
      <c r="A1262" t="s">
        <v>179</v>
      </c>
      <c r="B1262" t="s">
        <v>383</v>
      </c>
      <c r="C1262">
        <v>46</v>
      </c>
      <c r="D1262">
        <v>304.7</v>
      </c>
      <c r="E1262" s="19">
        <v>45594</v>
      </c>
      <c r="F1262">
        <v>284.60000000000002</v>
      </c>
      <c r="G1262" s="19">
        <v>45660</v>
      </c>
      <c r="H1262">
        <v>6.5966524450278854</v>
      </c>
    </row>
    <row r="1263" spans="1:8" x14ac:dyDescent="0.25">
      <c r="A1263" t="s">
        <v>179</v>
      </c>
      <c r="B1263" t="s">
        <v>385</v>
      </c>
      <c r="C1263">
        <v>134</v>
      </c>
      <c r="D1263">
        <v>248.03</v>
      </c>
      <c r="E1263" s="19">
        <v>45397</v>
      </c>
      <c r="F1263">
        <v>301.85000000000002</v>
      </c>
      <c r="G1263" s="19">
        <v>45590</v>
      </c>
      <c r="H1263">
        <v>21.69898802564207</v>
      </c>
    </row>
    <row r="1264" spans="1:8" x14ac:dyDescent="0.25">
      <c r="A1264" t="s">
        <v>179</v>
      </c>
      <c r="B1264" t="s">
        <v>383</v>
      </c>
      <c r="C1264">
        <v>19</v>
      </c>
      <c r="D1264">
        <v>195.53</v>
      </c>
      <c r="E1264" s="19">
        <v>45364</v>
      </c>
      <c r="F1264">
        <v>246.4</v>
      </c>
      <c r="G1264" s="19">
        <v>45392</v>
      </c>
      <c r="H1264">
        <v>-26.016468061167089</v>
      </c>
    </row>
    <row r="1265" spans="1:8" x14ac:dyDescent="0.25">
      <c r="A1265" t="s">
        <v>179</v>
      </c>
      <c r="B1265" t="s">
        <v>385</v>
      </c>
      <c r="C1265">
        <v>327</v>
      </c>
      <c r="D1265">
        <v>45.23</v>
      </c>
      <c r="E1265" s="19">
        <v>44883</v>
      </c>
      <c r="F1265">
        <v>224.98</v>
      </c>
      <c r="G1265" s="19">
        <v>45362</v>
      </c>
      <c r="H1265">
        <v>397.41322131328769</v>
      </c>
    </row>
    <row r="1266" spans="1:8" x14ac:dyDescent="0.25">
      <c r="A1266" t="s">
        <v>180</v>
      </c>
      <c r="B1266" t="s">
        <v>383</v>
      </c>
      <c r="C1266">
        <v>1</v>
      </c>
      <c r="D1266">
        <v>677.6</v>
      </c>
      <c r="E1266" s="19">
        <v>45660</v>
      </c>
      <c r="F1266">
        <v>677.6</v>
      </c>
      <c r="G1266" s="19">
        <v>45660</v>
      </c>
      <c r="H1266">
        <v>0</v>
      </c>
    </row>
    <row r="1267" spans="1:8" x14ac:dyDescent="0.25">
      <c r="A1267" t="s">
        <v>180</v>
      </c>
      <c r="B1267" t="s">
        <v>385</v>
      </c>
      <c r="C1267">
        <v>14</v>
      </c>
      <c r="D1267">
        <v>752.65</v>
      </c>
      <c r="E1267" s="19">
        <v>45638</v>
      </c>
      <c r="F1267">
        <v>696.85</v>
      </c>
      <c r="G1267" s="19">
        <v>45658</v>
      </c>
      <c r="H1267">
        <v>-7.4138045572311118</v>
      </c>
    </row>
    <row r="1268" spans="1:8" x14ac:dyDescent="0.25">
      <c r="A1268" t="s">
        <v>180</v>
      </c>
      <c r="B1268" t="s">
        <v>383</v>
      </c>
      <c r="C1268">
        <v>33</v>
      </c>
      <c r="D1268">
        <v>658.95</v>
      </c>
      <c r="E1268" s="19">
        <v>45588</v>
      </c>
      <c r="F1268">
        <v>746.65</v>
      </c>
      <c r="G1268" s="19">
        <v>45636</v>
      </c>
      <c r="H1268">
        <v>-13.309052280142639</v>
      </c>
    </row>
    <row r="1269" spans="1:8" x14ac:dyDescent="0.25">
      <c r="A1269" t="s">
        <v>180</v>
      </c>
      <c r="B1269" t="s">
        <v>385</v>
      </c>
      <c r="C1269">
        <v>23</v>
      </c>
      <c r="D1269">
        <v>749.9</v>
      </c>
      <c r="E1269" s="19">
        <v>45553</v>
      </c>
      <c r="F1269">
        <v>698.85</v>
      </c>
      <c r="G1269" s="19">
        <v>45586</v>
      </c>
      <c r="H1269">
        <v>-6.8075743432457596</v>
      </c>
    </row>
    <row r="1270" spans="1:8" x14ac:dyDescent="0.25">
      <c r="A1270" t="s">
        <v>180</v>
      </c>
      <c r="B1270" t="s">
        <v>383</v>
      </c>
      <c r="C1270">
        <v>32</v>
      </c>
      <c r="D1270">
        <v>736.35</v>
      </c>
      <c r="E1270" s="19">
        <v>45505</v>
      </c>
      <c r="F1270">
        <v>759.45</v>
      </c>
      <c r="G1270" s="19">
        <v>45551</v>
      </c>
      <c r="H1270">
        <v>-3.1370951313913249</v>
      </c>
    </row>
    <row r="1271" spans="1:8" x14ac:dyDescent="0.25">
      <c r="A1271" t="s">
        <v>180</v>
      </c>
      <c r="B1271" t="s">
        <v>385</v>
      </c>
      <c r="C1271">
        <v>436</v>
      </c>
      <c r="D1271">
        <v>141.4</v>
      </c>
      <c r="E1271" s="19">
        <v>44861</v>
      </c>
      <c r="F1271">
        <v>744.6</v>
      </c>
      <c r="G1271" s="19">
        <v>45503</v>
      </c>
      <c r="H1271">
        <v>426.59123055162661</v>
      </c>
    </row>
    <row r="1272" spans="1:8" x14ac:dyDescent="0.25">
      <c r="A1272" t="s">
        <v>181</v>
      </c>
      <c r="B1272" t="s">
        <v>385</v>
      </c>
      <c r="C1272">
        <v>15</v>
      </c>
      <c r="D1272">
        <v>998.75</v>
      </c>
      <c r="E1272" s="19">
        <v>45639</v>
      </c>
      <c r="F1272">
        <v>957.85</v>
      </c>
      <c r="G1272" s="19">
        <v>45660</v>
      </c>
      <c r="H1272">
        <v>-4.0951188986232756</v>
      </c>
    </row>
    <row r="1273" spans="1:8" x14ac:dyDescent="0.25">
      <c r="A1273" t="s">
        <v>181</v>
      </c>
      <c r="B1273" t="s">
        <v>383</v>
      </c>
      <c r="C1273">
        <v>36</v>
      </c>
      <c r="D1273">
        <v>948.95</v>
      </c>
      <c r="E1273" s="19">
        <v>45586</v>
      </c>
      <c r="F1273">
        <v>994.65</v>
      </c>
      <c r="G1273" s="19">
        <v>45637</v>
      </c>
      <c r="H1273">
        <v>-4.8158490963696643</v>
      </c>
    </row>
    <row r="1274" spans="1:8" x14ac:dyDescent="0.25">
      <c r="A1274" t="s">
        <v>181</v>
      </c>
      <c r="B1274" t="s">
        <v>385</v>
      </c>
      <c r="C1274">
        <v>22</v>
      </c>
      <c r="D1274">
        <v>1052.75</v>
      </c>
      <c r="E1274" s="19">
        <v>45552</v>
      </c>
      <c r="F1274">
        <v>930</v>
      </c>
      <c r="G1274" s="19">
        <v>45582</v>
      </c>
      <c r="H1274">
        <v>-11.65993825694609</v>
      </c>
    </row>
    <row r="1275" spans="1:8" x14ac:dyDescent="0.25">
      <c r="A1275" t="s">
        <v>181</v>
      </c>
      <c r="B1275" t="s">
        <v>383</v>
      </c>
      <c r="C1275">
        <v>36</v>
      </c>
      <c r="D1275">
        <v>937.8</v>
      </c>
      <c r="E1275" s="19">
        <v>45498</v>
      </c>
      <c r="F1275">
        <v>1031.0999999999999</v>
      </c>
      <c r="G1275" s="19">
        <v>45548</v>
      </c>
      <c r="H1275">
        <v>-9.9488163787587922</v>
      </c>
    </row>
    <row r="1276" spans="1:8" x14ac:dyDescent="0.25">
      <c r="A1276" t="s">
        <v>181</v>
      </c>
      <c r="B1276" t="s">
        <v>385</v>
      </c>
      <c r="C1276">
        <v>158</v>
      </c>
      <c r="D1276">
        <v>681.5</v>
      </c>
      <c r="E1276" s="19">
        <v>45264</v>
      </c>
      <c r="F1276">
        <v>952.8</v>
      </c>
      <c r="G1276" s="19">
        <v>45496</v>
      </c>
      <c r="H1276">
        <v>39.809244314013199</v>
      </c>
    </row>
    <row r="1277" spans="1:8" x14ac:dyDescent="0.25">
      <c r="A1277" t="s">
        <v>181</v>
      </c>
      <c r="B1277" t="s">
        <v>383</v>
      </c>
      <c r="C1277">
        <v>23</v>
      </c>
      <c r="D1277">
        <v>643.65</v>
      </c>
      <c r="E1277" s="19">
        <v>45229</v>
      </c>
      <c r="F1277">
        <v>670.8</v>
      </c>
      <c r="G1277" s="19">
        <v>45260</v>
      </c>
      <c r="H1277">
        <v>-4.2181309718014406</v>
      </c>
    </row>
    <row r="1278" spans="1:8" x14ac:dyDescent="0.25">
      <c r="A1278" t="s">
        <v>181</v>
      </c>
      <c r="B1278" t="s">
        <v>385</v>
      </c>
      <c r="C1278">
        <v>85</v>
      </c>
      <c r="D1278">
        <v>567.79999999999995</v>
      </c>
      <c r="E1278" s="19">
        <v>45100</v>
      </c>
      <c r="F1278">
        <v>645.04999999999995</v>
      </c>
      <c r="G1278" s="19">
        <v>45225</v>
      </c>
      <c r="H1278">
        <v>13.605142655864739</v>
      </c>
    </row>
    <row r="1279" spans="1:8" x14ac:dyDescent="0.25">
      <c r="A1279" t="s">
        <v>181</v>
      </c>
      <c r="B1279" t="s">
        <v>383</v>
      </c>
      <c r="C1279">
        <v>24</v>
      </c>
      <c r="D1279">
        <v>522.4</v>
      </c>
      <c r="E1279" s="19">
        <v>45065</v>
      </c>
      <c r="F1279">
        <v>585</v>
      </c>
      <c r="G1279" s="19">
        <v>45098</v>
      </c>
      <c r="H1279">
        <v>-11.983154670750389</v>
      </c>
    </row>
    <row r="1280" spans="1:8" x14ac:dyDescent="0.25">
      <c r="A1280" t="s">
        <v>181</v>
      </c>
      <c r="B1280" t="s">
        <v>385</v>
      </c>
      <c r="C1280">
        <v>14</v>
      </c>
      <c r="D1280">
        <v>579.45000000000005</v>
      </c>
      <c r="E1280" s="19">
        <v>45043</v>
      </c>
      <c r="F1280">
        <v>532.1</v>
      </c>
      <c r="G1280" s="19">
        <v>45063</v>
      </c>
      <c r="H1280">
        <v>-8.1715419794632869</v>
      </c>
    </row>
    <row r="1281" spans="1:8" x14ac:dyDescent="0.25">
      <c r="A1281" t="s">
        <v>182</v>
      </c>
      <c r="B1281" t="s">
        <v>385</v>
      </c>
      <c r="C1281">
        <v>20</v>
      </c>
      <c r="D1281">
        <v>807</v>
      </c>
      <c r="E1281" s="19">
        <v>45632</v>
      </c>
      <c r="F1281">
        <v>818.5</v>
      </c>
      <c r="G1281" s="19">
        <v>45660</v>
      </c>
      <c r="H1281">
        <v>1.425030978934325</v>
      </c>
    </row>
    <row r="1282" spans="1:8" x14ac:dyDescent="0.25">
      <c r="A1282" t="s">
        <v>182</v>
      </c>
      <c r="B1282" t="s">
        <v>383</v>
      </c>
      <c r="C1282">
        <v>16</v>
      </c>
      <c r="D1282">
        <v>739.7</v>
      </c>
      <c r="E1282" s="19">
        <v>45607</v>
      </c>
      <c r="F1282">
        <v>828.7</v>
      </c>
      <c r="G1282" s="19">
        <v>45630</v>
      </c>
      <c r="H1282">
        <v>-12.03190482628092</v>
      </c>
    </row>
    <row r="1283" spans="1:8" x14ac:dyDescent="0.25">
      <c r="A1283" t="s">
        <v>182</v>
      </c>
      <c r="B1283" t="s">
        <v>385</v>
      </c>
      <c r="C1283">
        <v>3</v>
      </c>
      <c r="D1283">
        <v>799.85</v>
      </c>
      <c r="E1283" s="19">
        <v>45601</v>
      </c>
      <c r="F1283">
        <v>775.65</v>
      </c>
      <c r="G1283" s="19">
        <v>45603</v>
      </c>
      <c r="H1283">
        <v>-3.0255672938676059</v>
      </c>
    </row>
    <row r="1284" spans="1:8" x14ac:dyDescent="0.25">
      <c r="A1284" t="s">
        <v>182</v>
      </c>
      <c r="B1284" t="s">
        <v>383</v>
      </c>
      <c r="C1284">
        <v>5</v>
      </c>
      <c r="D1284">
        <v>778.6</v>
      </c>
      <c r="E1284" s="19">
        <v>45593</v>
      </c>
      <c r="F1284">
        <v>832</v>
      </c>
      <c r="G1284" s="19">
        <v>45597</v>
      </c>
      <c r="H1284">
        <v>-6.8584639095812969</v>
      </c>
    </row>
    <row r="1285" spans="1:8" x14ac:dyDescent="0.25">
      <c r="A1285" t="s">
        <v>182</v>
      </c>
      <c r="B1285" t="s">
        <v>385</v>
      </c>
      <c r="C1285">
        <v>5</v>
      </c>
      <c r="D1285">
        <v>823.35</v>
      </c>
      <c r="E1285" s="19">
        <v>45583</v>
      </c>
      <c r="F1285">
        <v>780.2</v>
      </c>
      <c r="G1285" s="19">
        <v>45589</v>
      </c>
      <c r="H1285">
        <v>-5.2407845995020317</v>
      </c>
    </row>
    <row r="1286" spans="1:8" x14ac:dyDescent="0.25">
      <c r="A1286" t="s">
        <v>182</v>
      </c>
      <c r="B1286" t="s">
        <v>383</v>
      </c>
      <c r="C1286">
        <v>45</v>
      </c>
      <c r="D1286">
        <v>817.6</v>
      </c>
      <c r="E1286" s="19">
        <v>45517</v>
      </c>
      <c r="F1286">
        <v>828.05</v>
      </c>
      <c r="G1286" s="19">
        <v>45581</v>
      </c>
      <c r="H1286">
        <v>-1.278131115459874</v>
      </c>
    </row>
    <row r="1287" spans="1:8" x14ac:dyDescent="0.25">
      <c r="A1287" t="s">
        <v>182</v>
      </c>
      <c r="B1287" t="s">
        <v>385</v>
      </c>
      <c r="C1287">
        <v>35</v>
      </c>
      <c r="D1287">
        <v>830.4</v>
      </c>
      <c r="E1287" s="19">
        <v>45464</v>
      </c>
      <c r="F1287">
        <v>821.4</v>
      </c>
      <c r="G1287" s="19">
        <v>45513</v>
      </c>
      <c r="H1287">
        <v>-1.0838150289017341</v>
      </c>
    </row>
    <row r="1288" spans="1:8" x14ac:dyDescent="0.25">
      <c r="A1288" t="s">
        <v>182</v>
      </c>
      <c r="B1288" t="s">
        <v>383</v>
      </c>
      <c r="C1288">
        <v>63</v>
      </c>
      <c r="D1288">
        <v>824.95</v>
      </c>
      <c r="E1288" s="19">
        <v>45366</v>
      </c>
      <c r="F1288">
        <v>831.25</v>
      </c>
      <c r="G1288" s="19">
        <v>45462</v>
      </c>
      <c r="H1288">
        <v>-0.76368264743317227</v>
      </c>
    </row>
    <row r="1289" spans="1:8" x14ac:dyDescent="0.25">
      <c r="A1289" t="s">
        <v>182</v>
      </c>
      <c r="B1289" t="s">
        <v>385</v>
      </c>
      <c r="C1289">
        <v>102</v>
      </c>
      <c r="D1289">
        <v>677.7</v>
      </c>
      <c r="E1289" s="19">
        <v>45217</v>
      </c>
      <c r="F1289">
        <v>795.2</v>
      </c>
      <c r="G1289" s="19">
        <v>45364</v>
      </c>
      <c r="H1289">
        <v>17.33805518666076</v>
      </c>
    </row>
    <row r="1290" spans="1:8" x14ac:dyDescent="0.25">
      <c r="A1290" t="s">
        <v>182</v>
      </c>
      <c r="B1290" t="s">
        <v>383</v>
      </c>
      <c r="C1290">
        <v>98</v>
      </c>
      <c r="D1290">
        <v>683.05</v>
      </c>
      <c r="E1290" s="19">
        <v>45072</v>
      </c>
      <c r="F1290">
        <v>674.6</v>
      </c>
      <c r="G1290" s="19">
        <v>45215</v>
      </c>
      <c r="H1290">
        <v>1.2370983090549641</v>
      </c>
    </row>
    <row r="1291" spans="1:8" x14ac:dyDescent="0.25">
      <c r="A1291" t="s">
        <v>182</v>
      </c>
      <c r="B1291" t="s">
        <v>385</v>
      </c>
      <c r="C1291">
        <v>33</v>
      </c>
      <c r="D1291">
        <v>824.7</v>
      </c>
      <c r="E1291" s="19">
        <v>45021</v>
      </c>
      <c r="F1291">
        <v>698.5</v>
      </c>
      <c r="G1291" s="19">
        <v>45070</v>
      </c>
      <c r="H1291">
        <v>-15.30253425488057</v>
      </c>
    </row>
    <row r="1292" spans="1:8" x14ac:dyDescent="0.25">
      <c r="A1292" t="s">
        <v>183</v>
      </c>
      <c r="B1292" t="s">
        <v>383</v>
      </c>
      <c r="C1292">
        <v>6</v>
      </c>
      <c r="D1292">
        <v>425.2</v>
      </c>
      <c r="E1292" s="19">
        <v>45653</v>
      </c>
      <c r="F1292">
        <v>422.9</v>
      </c>
      <c r="G1292" s="19">
        <v>45660</v>
      </c>
      <c r="H1292">
        <v>0.54092191909689824</v>
      </c>
    </row>
    <row r="1293" spans="1:8" x14ac:dyDescent="0.25">
      <c r="A1293" t="s">
        <v>183</v>
      </c>
      <c r="B1293" t="s">
        <v>385</v>
      </c>
      <c r="C1293">
        <v>6</v>
      </c>
      <c r="D1293">
        <v>472.4</v>
      </c>
      <c r="E1293" s="19">
        <v>45643</v>
      </c>
      <c r="F1293">
        <v>433.15</v>
      </c>
      <c r="G1293" s="19">
        <v>45650</v>
      </c>
      <c r="H1293">
        <v>-8.3086367485182056</v>
      </c>
    </row>
    <row r="1294" spans="1:8" x14ac:dyDescent="0.25">
      <c r="A1294" t="s">
        <v>183</v>
      </c>
      <c r="B1294" t="s">
        <v>383</v>
      </c>
      <c r="C1294">
        <v>33</v>
      </c>
      <c r="D1294">
        <v>439.65</v>
      </c>
      <c r="E1294" s="19">
        <v>45593</v>
      </c>
      <c r="F1294">
        <v>454.9</v>
      </c>
      <c r="G1294" s="19">
        <v>45639</v>
      </c>
      <c r="H1294">
        <v>-3.468668258842261</v>
      </c>
    </row>
    <row r="1295" spans="1:8" x14ac:dyDescent="0.25">
      <c r="A1295" t="s">
        <v>183</v>
      </c>
      <c r="B1295" t="s">
        <v>385</v>
      </c>
      <c r="C1295">
        <v>10</v>
      </c>
      <c r="D1295">
        <v>505.6</v>
      </c>
      <c r="E1295" s="19">
        <v>45576</v>
      </c>
      <c r="F1295">
        <v>466.05</v>
      </c>
      <c r="G1295" s="19">
        <v>45589</v>
      </c>
      <c r="H1295">
        <v>-7.8223892405063307</v>
      </c>
    </row>
    <row r="1296" spans="1:8" x14ac:dyDescent="0.25">
      <c r="A1296" t="s">
        <v>183</v>
      </c>
      <c r="B1296" t="s">
        <v>383</v>
      </c>
      <c r="C1296">
        <v>34</v>
      </c>
      <c r="D1296">
        <v>472.1</v>
      </c>
      <c r="E1296" s="19">
        <v>45526</v>
      </c>
      <c r="F1296">
        <v>501.7</v>
      </c>
      <c r="G1296" s="19">
        <v>45574</v>
      </c>
      <c r="H1296">
        <v>-6.2698580809150526</v>
      </c>
    </row>
    <row r="1297" spans="1:8" x14ac:dyDescent="0.25">
      <c r="A1297" t="s">
        <v>183</v>
      </c>
      <c r="B1297" t="s">
        <v>385</v>
      </c>
      <c r="C1297">
        <v>62</v>
      </c>
      <c r="D1297">
        <v>369.25</v>
      </c>
      <c r="E1297" s="19">
        <v>45434</v>
      </c>
      <c r="F1297">
        <v>475.3</v>
      </c>
      <c r="G1297" s="19">
        <v>45524</v>
      </c>
      <c r="H1297">
        <v>28.720379146919431</v>
      </c>
    </row>
    <row r="1298" spans="1:8" x14ac:dyDescent="0.25">
      <c r="A1298" t="s">
        <v>183</v>
      </c>
      <c r="B1298" t="s">
        <v>383</v>
      </c>
      <c r="C1298">
        <v>2</v>
      </c>
      <c r="D1298">
        <v>376.95</v>
      </c>
      <c r="E1298" s="19">
        <v>45429</v>
      </c>
      <c r="F1298">
        <v>379.2</v>
      </c>
      <c r="G1298" s="19">
        <v>45430</v>
      </c>
      <c r="H1298">
        <v>-0.5968961400716275</v>
      </c>
    </row>
    <row r="1299" spans="1:8" x14ac:dyDescent="0.25">
      <c r="A1299" t="s">
        <v>183</v>
      </c>
      <c r="B1299" t="s">
        <v>385</v>
      </c>
      <c r="C1299">
        <v>9</v>
      </c>
      <c r="D1299">
        <v>385.55</v>
      </c>
      <c r="E1299" s="19">
        <v>45415</v>
      </c>
      <c r="F1299">
        <v>345</v>
      </c>
      <c r="G1299" s="19">
        <v>45427</v>
      </c>
      <c r="H1299">
        <v>-10.5174426144469</v>
      </c>
    </row>
    <row r="1300" spans="1:8" x14ac:dyDescent="0.25">
      <c r="A1300" t="s">
        <v>183</v>
      </c>
      <c r="B1300" t="s">
        <v>383</v>
      </c>
      <c r="C1300">
        <v>47</v>
      </c>
      <c r="D1300">
        <v>379.3</v>
      </c>
      <c r="E1300" s="19">
        <v>45342</v>
      </c>
      <c r="F1300">
        <v>383.15</v>
      </c>
      <c r="G1300" s="19">
        <v>45412</v>
      </c>
      <c r="H1300">
        <v>-1.0150276825731519</v>
      </c>
    </row>
    <row r="1301" spans="1:8" x14ac:dyDescent="0.25">
      <c r="A1301" t="s">
        <v>183</v>
      </c>
      <c r="B1301" t="s">
        <v>385</v>
      </c>
      <c r="C1301">
        <v>49</v>
      </c>
      <c r="D1301">
        <v>394.55</v>
      </c>
      <c r="E1301" s="19">
        <v>45268</v>
      </c>
      <c r="F1301">
        <v>384.3</v>
      </c>
      <c r="G1301" s="19">
        <v>45338</v>
      </c>
      <c r="H1301">
        <v>-2.597896337599797</v>
      </c>
    </row>
    <row r="1302" spans="1:8" x14ac:dyDescent="0.25">
      <c r="A1302" t="s">
        <v>183</v>
      </c>
      <c r="B1302" t="s">
        <v>383</v>
      </c>
      <c r="C1302">
        <v>12</v>
      </c>
      <c r="D1302">
        <v>370.8</v>
      </c>
      <c r="E1302" s="19">
        <v>45250</v>
      </c>
      <c r="F1302">
        <v>400</v>
      </c>
      <c r="G1302" s="19">
        <v>45266</v>
      </c>
      <c r="H1302">
        <v>-7.8748651564185508</v>
      </c>
    </row>
    <row r="1303" spans="1:8" x14ac:dyDescent="0.25">
      <c r="A1303" t="s">
        <v>183</v>
      </c>
      <c r="B1303" t="s">
        <v>385</v>
      </c>
      <c r="C1303">
        <v>63</v>
      </c>
      <c r="D1303">
        <v>370.2</v>
      </c>
      <c r="E1303" s="19">
        <v>45155</v>
      </c>
      <c r="F1303">
        <v>375.95</v>
      </c>
      <c r="G1303" s="19">
        <v>45246</v>
      </c>
      <c r="H1303">
        <v>1.553214478660184</v>
      </c>
    </row>
    <row r="1304" spans="1:8" x14ac:dyDescent="0.25">
      <c r="A1304" t="s">
        <v>183</v>
      </c>
      <c r="B1304" t="s">
        <v>383</v>
      </c>
      <c r="C1304">
        <v>134</v>
      </c>
      <c r="D1304">
        <v>394.6</v>
      </c>
      <c r="E1304" s="19">
        <v>44956</v>
      </c>
      <c r="F1304">
        <v>333.7</v>
      </c>
      <c r="G1304" s="19">
        <v>45152</v>
      </c>
      <c r="H1304">
        <v>15.43335022807908</v>
      </c>
    </row>
    <row r="1305" spans="1:8" x14ac:dyDescent="0.25">
      <c r="A1305" t="s">
        <v>184</v>
      </c>
      <c r="B1305" t="s">
        <v>383</v>
      </c>
      <c r="C1305">
        <v>2</v>
      </c>
      <c r="D1305">
        <v>389.05</v>
      </c>
      <c r="E1305" s="19">
        <v>45659</v>
      </c>
      <c r="F1305">
        <v>387.45</v>
      </c>
      <c r="G1305" s="19">
        <v>45660</v>
      </c>
      <c r="H1305">
        <v>0.41125819303432021</v>
      </c>
    </row>
    <row r="1306" spans="1:8" x14ac:dyDescent="0.25">
      <c r="A1306" t="s">
        <v>184</v>
      </c>
      <c r="B1306" t="s">
        <v>385</v>
      </c>
      <c r="C1306">
        <v>11</v>
      </c>
      <c r="D1306">
        <v>410.1</v>
      </c>
      <c r="E1306" s="19">
        <v>45642</v>
      </c>
      <c r="F1306">
        <v>388.55</v>
      </c>
      <c r="G1306" s="19">
        <v>45657</v>
      </c>
      <c r="H1306">
        <v>-5.2548158985613291</v>
      </c>
    </row>
    <row r="1307" spans="1:8" x14ac:dyDescent="0.25">
      <c r="A1307" t="s">
        <v>184</v>
      </c>
      <c r="B1307" t="s">
        <v>383</v>
      </c>
      <c r="C1307">
        <v>46</v>
      </c>
      <c r="D1307">
        <v>399.35</v>
      </c>
      <c r="E1307" s="19">
        <v>45573</v>
      </c>
      <c r="F1307">
        <v>408.85</v>
      </c>
      <c r="G1307" s="19">
        <v>45638</v>
      </c>
      <c r="H1307">
        <v>-2.378865656692124</v>
      </c>
    </row>
    <row r="1308" spans="1:8" x14ac:dyDescent="0.25">
      <c r="A1308" t="s">
        <v>184</v>
      </c>
      <c r="B1308" t="s">
        <v>385</v>
      </c>
      <c r="C1308">
        <v>13</v>
      </c>
      <c r="D1308">
        <v>432.45</v>
      </c>
      <c r="E1308" s="19">
        <v>45552</v>
      </c>
      <c r="F1308">
        <v>405.1</v>
      </c>
      <c r="G1308" s="19">
        <v>45569</v>
      </c>
      <c r="H1308">
        <v>-6.3244305700080856</v>
      </c>
    </row>
    <row r="1309" spans="1:8" x14ac:dyDescent="0.25">
      <c r="A1309" t="s">
        <v>184</v>
      </c>
      <c r="B1309" t="s">
        <v>383</v>
      </c>
      <c r="C1309">
        <v>24</v>
      </c>
      <c r="D1309">
        <v>402.45</v>
      </c>
      <c r="E1309" s="19">
        <v>45516</v>
      </c>
      <c r="F1309">
        <v>443.55</v>
      </c>
      <c r="G1309" s="19">
        <v>45548</v>
      </c>
      <c r="H1309">
        <v>-10.212448751397689</v>
      </c>
    </row>
    <row r="1310" spans="1:8" x14ac:dyDescent="0.25">
      <c r="A1310" t="s">
        <v>184</v>
      </c>
      <c r="B1310" t="s">
        <v>385</v>
      </c>
      <c r="C1310">
        <v>26</v>
      </c>
      <c r="D1310">
        <v>453.2</v>
      </c>
      <c r="E1310" s="19">
        <v>45476</v>
      </c>
      <c r="F1310">
        <v>407.2</v>
      </c>
      <c r="G1310" s="19">
        <v>45512</v>
      </c>
      <c r="H1310">
        <v>-10.150044130626661</v>
      </c>
    </row>
    <row r="1311" spans="1:8" x14ac:dyDescent="0.25">
      <c r="A1311" t="s">
        <v>184</v>
      </c>
      <c r="B1311" t="s">
        <v>383</v>
      </c>
      <c r="C1311">
        <v>67</v>
      </c>
      <c r="D1311">
        <v>413.9</v>
      </c>
      <c r="E1311" s="19">
        <v>45372</v>
      </c>
      <c r="F1311">
        <v>445.8</v>
      </c>
      <c r="G1311" s="19">
        <v>45474</v>
      </c>
      <c r="H1311">
        <v>-7.7071756462913834</v>
      </c>
    </row>
    <row r="1312" spans="1:8" x14ac:dyDescent="0.25">
      <c r="A1312" t="s">
        <v>184</v>
      </c>
      <c r="B1312" t="s">
        <v>385</v>
      </c>
      <c r="C1312">
        <v>231</v>
      </c>
      <c r="D1312">
        <v>169.6</v>
      </c>
      <c r="E1312" s="19">
        <v>45035</v>
      </c>
      <c r="F1312">
        <v>411</v>
      </c>
      <c r="G1312" s="19">
        <v>45370</v>
      </c>
      <c r="H1312">
        <v>142.33490566037739</v>
      </c>
    </row>
    <row r="1313" spans="1:8" x14ac:dyDescent="0.25">
      <c r="A1313" t="s">
        <v>185</v>
      </c>
      <c r="B1313" t="s">
        <v>383</v>
      </c>
      <c r="C1313">
        <v>9</v>
      </c>
      <c r="D1313">
        <v>937.05</v>
      </c>
      <c r="E1313" s="19">
        <v>45649</v>
      </c>
      <c r="F1313">
        <v>915.05</v>
      </c>
      <c r="G1313" s="19">
        <v>45660</v>
      </c>
      <c r="H1313">
        <v>2.3477936075983141</v>
      </c>
    </row>
    <row r="1314" spans="1:8" x14ac:dyDescent="0.25">
      <c r="A1314" t="s">
        <v>185</v>
      </c>
      <c r="B1314" t="s">
        <v>385</v>
      </c>
      <c r="C1314">
        <v>11</v>
      </c>
      <c r="D1314">
        <v>999.2</v>
      </c>
      <c r="E1314" s="19">
        <v>45631</v>
      </c>
      <c r="F1314">
        <v>925.95</v>
      </c>
      <c r="G1314" s="19">
        <v>45645</v>
      </c>
      <c r="H1314">
        <v>-7.3308646917534031</v>
      </c>
    </row>
    <row r="1315" spans="1:8" x14ac:dyDescent="0.25">
      <c r="A1315" t="s">
        <v>185</v>
      </c>
      <c r="B1315" t="s">
        <v>383</v>
      </c>
      <c r="C1315">
        <v>10</v>
      </c>
      <c r="D1315">
        <v>947.3</v>
      </c>
      <c r="E1315" s="19">
        <v>45615</v>
      </c>
      <c r="F1315">
        <v>998.8</v>
      </c>
      <c r="G1315" s="19">
        <v>45629</v>
      </c>
      <c r="H1315">
        <v>-5.4365037474928748</v>
      </c>
    </row>
    <row r="1316" spans="1:8" x14ac:dyDescent="0.25">
      <c r="A1316" t="s">
        <v>185</v>
      </c>
      <c r="B1316" t="s">
        <v>385</v>
      </c>
      <c r="C1316">
        <v>59</v>
      </c>
      <c r="D1316">
        <v>941.05</v>
      </c>
      <c r="E1316" s="19">
        <v>45527</v>
      </c>
      <c r="F1316">
        <v>939.05</v>
      </c>
      <c r="G1316" s="19">
        <v>45610</v>
      </c>
      <c r="H1316">
        <v>-0.21252855852505179</v>
      </c>
    </row>
    <row r="1317" spans="1:8" x14ac:dyDescent="0.25">
      <c r="A1317" t="s">
        <v>185</v>
      </c>
      <c r="B1317" t="s">
        <v>383</v>
      </c>
      <c r="C1317">
        <v>11</v>
      </c>
      <c r="D1317">
        <v>884</v>
      </c>
      <c r="E1317" s="19">
        <v>45510</v>
      </c>
      <c r="F1317">
        <v>925.8</v>
      </c>
      <c r="G1317" s="19">
        <v>45525</v>
      </c>
      <c r="H1317">
        <v>-4.7285067873303106</v>
      </c>
    </row>
    <row r="1318" spans="1:8" x14ac:dyDescent="0.25">
      <c r="A1318" t="s">
        <v>185</v>
      </c>
      <c r="B1318" t="s">
        <v>385</v>
      </c>
      <c r="C1318">
        <v>84</v>
      </c>
      <c r="D1318">
        <v>879.25</v>
      </c>
      <c r="E1318" s="19">
        <v>45384</v>
      </c>
      <c r="F1318">
        <v>899.55</v>
      </c>
      <c r="G1318" s="19">
        <v>45506</v>
      </c>
      <c r="H1318">
        <v>2.3087858970713619</v>
      </c>
    </row>
    <row r="1319" spans="1:8" x14ac:dyDescent="0.25">
      <c r="A1319" t="s">
        <v>185</v>
      </c>
      <c r="B1319" t="s">
        <v>383</v>
      </c>
      <c r="C1319">
        <v>10</v>
      </c>
      <c r="D1319">
        <v>785.45</v>
      </c>
      <c r="E1319" s="19">
        <v>45365</v>
      </c>
      <c r="F1319">
        <v>830.2</v>
      </c>
      <c r="G1319" s="19">
        <v>45379</v>
      </c>
      <c r="H1319">
        <v>-5.6973709338595704</v>
      </c>
    </row>
    <row r="1320" spans="1:8" x14ac:dyDescent="0.25">
      <c r="A1320" t="s">
        <v>185</v>
      </c>
      <c r="B1320" t="s">
        <v>385</v>
      </c>
      <c r="C1320">
        <v>6</v>
      </c>
      <c r="D1320">
        <v>824.3</v>
      </c>
      <c r="E1320" s="19">
        <v>45355</v>
      </c>
      <c r="F1320">
        <v>817.8</v>
      </c>
      <c r="G1320" s="19">
        <v>45363</v>
      </c>
      <c r="H1320">
        <v>-0.7885478587892758</v>
      </c>
    </row>
    <row r="1321" spans="1:8" x14ac:dyDescent="0.25">
      <c r="A1321" t="s">
        <v>185</v>
      </c>
      <c r="B1321" t="s">
        <v>383</v>
      </c>
      <c r="C1321">
        <v>21</v>
      </c>
      <c r="D1321">
        <v>823.55</v>
      </c>
      <c r="E1321" s="19">
        <v>45324</v>
      </c>
      <c r="F1321">
        <v>836.2</v>
      </c>
      <c r="G1321" s="19">
        <v>45352</v>
      </c>
      <c r="H1321">
        <v>-1.5360330277457459</v>
      </c>
    </row>
    <row r="1322" spans="1:8" x14ac:dyDescent="0.25">
      <c r="A1322" t="s">
        <v>185</v>
      </c>
      <c r="B1322" t="s">
        <v>385</v>
      </c>
      <c r="C1322">
        <v>43</v>
      </c>
      <c r="D1322">
        <v>801.1</v>
      </c>
      <c r="E1322" s="19">
        <v>45260</v>
      </c>
      <c r="F1322">
        <v>818.65</v>
      </c>
      <c r="G1322" s="19">
        <v>45322</v>
      </c>
      <c r="H1322">
        <v>2.190737735613526</v>
      </c>
    </row>
    <row r="1323" spans="1:8" x14ac:dyDescent="0.25">
      <c r="A1323" t="s">
        <v>185</v>
      </c>
      <c r="B1323" t="s">
        <v>383</v>
      </c>
      <c r="C1323">
        <v>40</v>
      </c>
      <c r="D1323">
        <v>779.6</v>
      </c>
      <c r="E1323" s="19">
        <v>45198</v>
      </c>
      <c r="F1323">
        <v>782.35</v>
      </c>
      <c r="G1323" s="19">
        <v>45258</v>
      </c>
      <c r="H1323">
        <v>-0.35274499743458182</v>
      </c>
    </row>
    <row r="1324" spans="1:8" x14ac:dyDescent="0.25">
      <c r="A1324" t="s">
        <v>185</v>
      </c>
      <c r="B1324" t="s">
        <v>385</v>
      </c>
      <c r="C1324">
        <v>77</v>
      </c>
      <c r="D1324">
        <v>748.8</v>
      </c>
      <c r="E1324" s="19">
        <v>45085</v>
      </c>
      <c r="F1324">
        <v>779.6</v>
      </c>
      <c r="G1324" s="19">
        <v>45196</v>
      </c>
      <c r="H1324">
        <v>4.1132478632478726</v>
      </c>
    </row>
    <row r="1325" spans="1:8" x14ac:dyDescent="0.25">
      <c r="A1325" t="s">
        <v>185</v>
      </c>
      <c r="B1325" t="s">
        <v>383</v>
      </c>
      <c r="C1325">
        <v>8</v>
      </c>
      <c r="D1325">
        <v>701.7</v>
      </c>
      <c r="E1325" s="19">
        <v>45072</v>
      </c>
      <c r="F1325">
        <v>712.85</v>
      </c>
      <c r="G1325" s="19">
        <v>45083</v>
      </c>
      <c r="H1325">
        <v>-1.588998147356417</v>
      </c>
    </row>
    <row r="1326" spans="1:8" x14ac:dyDescent="0.25">
      <c r="A1326" t="s">
        <v>185</v>
      </c>
      <c r="B1326" t="s">
        <v>385</v>
      </c>
      <c r="C1326">
        <v>24</v>
      </c>
      <c r="D1326">
        <v>715.8</v>
      </c>
      <c r="E1326" s="19">
        <v>45036</v>
      </c>
      <c r="F1326">
        <v>696</v>
      </c>
      <c r="G1326" s="19">
        <v>45070</v>
      </c>
      <c r="H1326">
        <v>-2.7661357921206982</v>
      </c>
    </row>
    <row r="1327" spans="1:8" x14ac:dyDescent="0.25">
      <c r="A1327" t="s">
        <v>186</v>
      </c>
      <c r="B1327" t="s">
        <v>385</v>
      </c>
      <c r="C1327">
        <v>15</v>
      </c>
      <c r="D1327">
        <v>555.45000000000005</v>
      </c>
      <c r="E1327" s="19">
        <v>45639</v>
      </c>
      <c r="F1327">
        <v>509.45</v>
      </c>
      <c r="G1327" s="19">
        <v>45660</v>
      </c>
      <c r="H1327">
        <v>-8.2815734989648124</v>
      </c>
    </row>
    <row r="1328" spans="1:8" x14ac:dyDescent="0.25">
      <c r="A1328" t="s">
        <v>186</v>
      </c>
      <c r="B1328" t="s">
        <v>383</v>
      </c>
      <c r="C1328">
        <v>85</v>
      </c>
      <c r="D1328">
        <v>555.54999999999995</v>
      </c>
      <c r="E1328" s="19">
        <v>45513</v>
      </c>
      <c r="F1328">
        <v>552.29999999999995</v>
      </c>
      <c r="G1328" s="19">
        <v>45637</v>
      </c>
      <c r="H1328">
        <v>0.5850058500585007</v>
      </c>
    </row>
    <row r="1329" spans="1:8" x14ac:dyDescent="0.25">
      <c r="A1329" t="s">
        <v>186</v>
      </c>
      <c r="B1329" t="s">
        <v>385</v>
      </c>
      <c r="C1329">
        <v>85</v>
      </c>
      <c r="D1329">
        <v>388.45</v>
      </c>
      <c r="E1329" s="19">
        <v>45386</v>
      </c>
      <c r="F1329">
        <v>562.79999999999995</v>
      </c>
      <c r="G1329" s="19">
        <v>45511</v>
      </c>
      <c r="H1329">
        <v>44.883511391427461</v>
      </c>
    </row>
    <row r="1330" spans="1:8" x14ac:dyDescent="0.25">
      <c r="A1330" t="s">
        <v>186</v>
      </c>
      <c r="B1330" t="s">
        <v>383</v>
      </c>
      <c r="C1330">
        <v>12</v>
      </c>
      <c r="D1330">
        <v>338.95</v>
      </c>
      <c r="E1330" s="19">
        <v>45365</v>
      </c>
      <c r="F1330">
        <v>386.6</v>
      </c>
      <c r="G1330" s="19">
        <v>45384</v>
      </c>
      <c r="H1330">
        <v>-14.058120666765021</v>
      </c>
    </row>
    <row r="1331" spans="1:8" x14ac:dyDescent="0.25">
      <c r="A1331" t="s">
        <v>186</v>
      </c>
      <c r="B1331" t="s">
        <v>385</v>
      </c>
      <c r="C1331">
        <v>225</v>
      </c>
      <c r="D1331">
        <v>103.6</v>
      </c>
      <c r="E1331" s="19">
        <v>45036</v>
      </c>
      <c r="F1331">
        <v>340.55</v>
      </c>
      <c r="G1331" s="19">
        <v>45363</v>
      </c>
      <c r="H1331">
        <v>228.7162162162162</v>
      </c>
    </row>
    <row r="1332" spans="1:8" x14ac:dyDescent="0.25">
      <c r="A1332" t="s">
        <v>187</v>
      </c>
      <c r="B1332" t="s">
        <v>383</v>
      </c>
      <c r="C1332">
        <v>53</v>
      </c>
      <c r="D1332">
        <v>512.1</v>
      </c>
      <c r="E1332" s="19">
        <v>45583</v>
      </c>
      <c r="F1332">
        <v>403.2</v>
      </c>
      <c r="G1332" s="19">
        <v>45660</v>
      </c>
      <c r="H1332">
        <v>21.265377855887529</v>
      </c>
    </row>
    <row r="1333" spans="1:8" x14ac:dyDescent="0.25">
      <c r="A1333" t="s">
        <v>187</v>
      </c>
      <c r="B1333" t="s">
        <v>385</v>
      </c>
      <c r="C1333">
        <v>73</v>
      </c>
      <c r="D1333">
        <v>478.65</v>
      </c>
      <c r="E1333" s="19">
        <v>45476</v>
      </c>
      <c r="F1333">
        <v>514.04999999999995</v>
      </c>
      <c r="G1333" s="19">
        <v>45581</v>
      </c>
      <c r="H1333">
        <v>7.3958006894390431</v>
      </c>
    </row>
    <row r="1334" spans="1:8" x14ac:dyDescent="0.25">
      <c r="A1334" t="s">
        <v>187</v>
      </c>
      <c r="B1334" t="s">
        <v>383</v>
      </c>
      <c r="C1334">
        <v>3</v>
      </c>
      <c r="D1334">
        <v>412.35</v>
      </c>
      <c r="E1334" s="19">
        <v>45470</v>
      </c>
      <c r="F1334">
        <v>451.2</v>
      </c>
      <c r="G1334" s="19">
        <v>45474</v>
      </c>
      <c r="H1334">
        <v>-9.4216078574026838</v>
      </c>
    </row>
    <row r="1335" spans="1:8" x14ac:dyDescent="0.25">
      <c r="A1335" t="s">
        <v>187</v>
      </c>
      <c r="B1335" t="s">
        <v>385</v>
      </c>
      <c r="C1335">
        <v>6</v>
      </c>
      <c r="D1335">
        <v>442.6</v>
      </c>
      <c r="E1335" s="19">
        <v>45461</v>
      </c>
      <c r="F1335">
        <v>419.05</v>
      </c>
      <c r="G1335" s="19">
        <v>45468</v>
      </c>
      <c r="H1335">
        <v>-5.320831450519659</v>
      </c>
    </row>
    <row r="1336" spans="1:8" x14ac:dyDescent="0.25">
      <c r="A1336" t="s">
        <v>187</v>
      </c>
      <c r="B1336" t="s">
        <v>383</v>
      </c>
      <c r="C1336">
        <v>14</v>
      </c>
      <c r="D1336">
        <v>421.1</v>
      </c>
      <c r="E1336" s="19">
        <v>45439</v>
      </c>
      <c r="F1336">
        <v>440.9</v>
      </c>
      <c r="G1336" s="19">
        <v>45456</v>
      </c>
      <c r="H1336">
        <v>-4.7019710282593099</v>
      </c>
    </row>
    <row r="1337" spans="1:8" x14ac:dyDescent="0.25">
      <c r="A1337" t="s">
        <v>187</v>
      </c>
      <c r="B1337" t="s">
        <v>385</v>
      </c>
      <c r="C1337">
        <v>7</v>
      </c>
      <c r="D1337">
        <v>440.95</v>
      </c>
      <c r="E1337" s="19">
        <v>45427</v>
      </c>
      <c r="F1337">
        <v>421.85</v>
      </c>
      <c r="G1337" s="19">
        <v>45435</v>
      </c>
      <c r="H1337">
        <v>-4.3315568658577996</v>
      </c>
    </row>
    <row r="1338" spans="1:8" x14ac:dyDescent="0.25">
      <c r="A1338" t="s">
        <v>187</v>
      </c>
      <c r="B1338" t="s">
        <v>383</v>
      </c>
      <c r="C1338">
        <v>51</v>
      </c>
      <c r="D1338">
        <v>475.65</v>
      </c>
      <c r="E1338" s="19">
        <v>45348</v>
      </c>
      <c r="F1338">
        <v>454.45</v>
      </c>
      <c r="G1338" s="19">
        <v>45425</v>
      </c>
      <c r="H1338">
        <v>4.4570587616945208</v>
      </c>
    </row>
    <row r="1339" spans="1:8" x14ac:dyDescent="0.25">
      <c r="A1339" t="s">
        <v>187</v>
      </c>
      <c r="B1339" t="s">
        <v>385</v>
      </c>
      <c r="C1339">
        <v>201</v>
      </c>
      <c r="D1339">
        <v>202.35</v>
      </c>
      <c r="E1339" s="19">
        <v>45054</v>
      </c>
      <c r="F1339">
        <v>471</v>
      </c>
      <c r="G1339" s="19">
        <v>45344</v>
      </c>
      <c r="H1339">
        <v>132.76501111934769</v>
      </c>
    </row>
    <row r="1340" spans="1:8" x14ac:dyDescent="0.25">
      <c r="A1340" t="s">
        <v>188</v>
      </c>
      <c r="B1340" t="s">
        <v>385</v>
      </c>
      <c r="C1340">
        <v>25</v>
      </c>
      <c r="D1340">
        <v>247.07</v>
      </c>
      <c r="E1340" s="19">
        <v>45625</v>
      </c>
      <c r="F1340">
        <v>240.95</v>
      </c>
      <c r="G1340" s="19">
        <v>45660</v>
      </c>
      <c r="H1340">
        <v>-2.4770308009875759</v>
      </c>
    </row>
    <row r="1341" spans="1:8" x14ac:dyDescent="0.25">
      <c r="A1341" t="s">
        <v>188</v>
      </c>
      <c r="B1341" t="s">
        <v>383</v>
      </c>
      <c r="C1341">
        <v>27</v>
      </c>
      <c r="D1341">
        <v>225.7</v>
      </c>
      <c r="E1341" s="19">
        <v>45583</v>
      </c>
      <c r="F1341">
        <v>242.17</v>
      </c>
      <c r="G1341" s="19">
        <v>45623</v>
      </c>
      <c r="H1341">
        <v>-7.2972972972972974</v>
      </c>
    </row>
    <row r="1342" spans="1:8" x14ac:dyDescent="0.25">
      <c r="A1342" t="s">
        <v>188</v>
      </c>
      <c r="B1342" t="s">
        <v>385</v>
      </c>
      <c r="C1342">
        <v>28</v>
      </c>
      <c r="D1342">
        <v>247.25</v>
      </c>
      <c r="E1342" s="19">
        <v>45541</v>
      </c>
      <c r="F1342">
        <v>231.75</v>
      </c>
      <c r="G1342" s="19">
        <v>45581</v>
      </c>
      <c r="H1342">
        <v>-6.2689585439838211</v>
      </c>
    </row>
    <row r="1343" spans="1:8" x14ac:dyDescent="0.25">
      <c r="A1343" t="s">
        <v>188</v>
      </c>
      <c r="B1343" t="s">
        <v>383</v>
      </c>
      <c r="C1343">
        <v>12</v>
      </c>
      <c r="D1343">
        <v>234.35</v>
      </c>
      <c r="E1343" s="19">
        <v>45524</v>
      </c>
      <c r="F1343">
        <v>242.21</v>
      </c>
      <c r="G1343" s="19">
        <v>45539</v>
      </c>
      <c r="H1343">
        <v>-3.3539577554939251</v>
      </c>
    </row>
    <row r="1344" spans="1:8" x14ac:dyDescent="0.25">
      <c r="A1344" t="s">
        <v>188</v>
      </c>
      <c r="B1344" t="s">
        <v>385</v>
      </c>
      <c r="C1344">
        <v>49</v>
      </c>
      <c r="D1344">
        <v>219.6</v>
      </c>
      <c r="E1344" s="19">
        <v>45449</v>
      </c>
      <c r="F1344">
        <v>219.19</v>
      </c>
      <c r="G1344" s="19">
        <v>45520</v>
      </c>
      <c r="H1344">
        <v>-0.18670309653916059</v>
      </c>
    </row>
    <row r="1345" spans="1:8" x14ac:dyDescent="0.25">
      <c r="A1345" t="s">
        <v>188</v>
      </c>
      <c r="B1345" t="s">
        <v>383</v>
      </c>
      <c r="C1345">
        <v>52</v>
      </c>
      <c r="D1345">
        <v>172.35</v>
      </c>
      <c r="E1345" s="19">
        <v>45369</v>
      </c>
      <c r="F1345">
        <v>170.35</v>
      </c>
      <c r="G1345" s="19">
        <v>45447</v>
      </c>
      <c r="H1345">
        <v>1.160429358862779</v>
      </c>
    </row>
    <row r="1346" spans="1:8" x14ac:dyDescent="0.25">
      <c r="A1346" t="s">
        <v>188</v>
      </c>
      <c r="B1346" t="s">
        <v>385</v>
      </c>
      <c r="C1346">
        <v>194</v>
      </c>
      <c r="D1346">
        <v>111.15</v>
      </c>
      <c r="E1346" s="19">
        <v>45084</v>
      </c>
      <c r="F1346">
        <v>169.15</v>
      </c>
      <c r="G1346" s="19">
        <v>45365</v>
      </c>
      <c r="H1346">
        <v>52.1817363922627</v>
      </c>
    </row>
    <row r="1347" spans="1:8" x14ac:dyDescent="0.25">
      <c r="A1347" t="s">
        <v>188</v>
      </c>
      <c r="B1347" t="s">
        <v>383</v>
      </c>
      <c r="C1347">
        <v>2</v>
      </c>
      <c r="D1347">
        <v>103.55</v>
      </c>
      <c r="E1347" s="19">
        <v>45079</v>
      </c>
      <c r="F1347">
        <v>105.25</v>
      </c>
      <c r="G1347" s="19">
        <v>45082</v>
      </c>
      <c r="H1347">
        <v>-1.6417189763399349</v>
      </c>
    </row>
    <row r="1348" spans="1:8" x14ac:dyDescent="0.25">
      <c r="A1348" t="s">
        <v>188</v>
      </c>
      <c r="B1348" t="s">
        <v>385</v>
      </c>
      <c r="C1348">
        <v>32</v>
      </c>
      <c r="D1348">
        <v>112.2</v>
      </c>
      <c r="E1348" s="19">
        <v>45033</v>
      </c>
      <c r="F1348">
        <v>102.4</v>
      </c>
      <c r="G1348" s="19">
        <v>45077</v>
      </c>
      <c r="H1348">
        <v>-8.7344028520499073</v>
      </c>
    </row>
    <row r="1349" spans="1:8" x14ac:dyDescent="0.25">
      <c r="A1349" t="s">
        <v>189</v>
      </c>
      <c r="B1349" t="s">
        <v>385</v>
      </c>
      <c r="C1349">
        <v>72</v>
      </c>
      <c r="D1349">
        <v>960.95</v>
      </c>
      <c r="E1349" s="19">
        <v>45555</v>
      </c>
      <c r="F1349">
        <v>1023.25</v>
      </c>
      <c r="G1349" s="19">
        <v>45660</v>
      </c>
      <c r="H1349">
        <v>6.4831676986315578</v>
      </c>
    </row>
    <row r="1350" spans="1:8" x14ac:dyDescent="0.25">
      <c r="A1350" t="s">
        <v>189</v>
      </c>
      <c r="B1350" t="s">
        <v>383</v>
      </c>
      <c r="C1350">
        <v>12</v>
      </c>
      <c r="D1350">
        <v>832.35</v>
      </c>
      <c r="E1350" s="19">
        <v>45538</v>
      </c>
      <c r="F1350">
        <v>859.1</v>
      </c>
      <c r="G1350" s="19">
        <v>45553</v>
      </c>
      <c r="H1350">
        <v>-3.213792274884363</v>
      </c>
    </row>
    <row r="1351" spans="1:8" x14ac:dyDescent="0.25">
      <c r="A1351" t="s">
        <v>189</v>
      </c>
      <c r="B1351" t="s">
        <v>385</v>
      </c>
      <c r="C1351">
        <v>55</v>
      </c>
      <c r="D1351">
        <v>841</v>
      </c>
      <c r="E1351" s="19">
        <v>45455</v>
      </c>
      <c r="F1351">
        <v>846.8</v>
      </c>
      <c r="G1351" s="19">
        <v>45534</v>
      </c>
      <c r="H1351">
        <v>0.68965517241378771</v>
      </c>
    </row>
    <row r="1352" spans="1:8" x14ac:dyDescent="0.25">
      <c r="A1352" t="s">
        <v>189</v>
      </c>
      <c r="B1352" t="s">
        <v>383</v>
      </c>
      <c r="C1352">
        <v>9</v>
      </c>
      <c r="D1352">
        <v>794.05</v>
      </c>
      <c r="E1352" s="19">
        <v>45441</v>
      </c>
      <c r="F1352">
        <v>846.45</v>
      </c>
      <c r="G1352" s="19">
        <v>45453</v>
      </c>
      <c r="H1352">
        <v>-6.599080662426811</v>
      </c>
    </row>
    <row r="1353" spans="1:8" x14ac:dyDescent="0.25">
      <c r="A1353" t="s">
        <v>189</v>
      </c>
      <c r="B1353" t="s">
        <v>385</v>
      </c>
      <c r="C1353">
        <v>44</v>
      </c>
      <c r="D1353">
        <v>790.2</v>
      </c>
      <c r="E1353" s="19">
        <v>45371</v>
      </c>
      <c r="F1353">
        <v>803.3</v>
      </c>
      <c r="G1353" s="19">
        <v>45439</v>
      </c>
      <c r="H1353">
        <v>1.6578081498354731</v>
      </c>
    </row>
    <row r="1354" spans="1:8" x14ac:dyDescent="0.25">
      <c r="A1354" t="s">
        <v>189</v>
      </c>
      <c r="B1354" t="s">
        <v>383</v>
      </c>
      <c r="C1354">
        <v>50</v>
      </c>
      <c r="D1354">
        <v>776.75</v>
      </c>
      <c r="E1354" s="19">
        <v>45299</v>
      </c>
      <c r="F1354">
        <v>790</v>
      </c>
      <c r="G1354" s="19">
        <v>45369</v>
      </c>
      <c r="H1354">
        <v>-1.70582555519794</v>
      </c>
    </row>
    <row r="1355" spans="1:8" x14ac:dyDescent="0.25">
      <c r="A1355" t="s">
        <v>189</v>
      </c>
      <c r="B1355" t="s">
        <v>385</v>
      </c>
      <c r="C1355">
        <v>145</v>
      </c>
      <c r="D1355">
        <v>611.9</v>
      </c>
      <c r="E1355" s="19">
        <v>45084</v>
      </c>
      <c r="F1355">
        <v>764.4</v>
      </c>
      <c r="G1355" s="19">
        <v>45295</v>
      </c>
      <c r="H1355">
        <v>24.922372936754371</v>
      </c>
    </row>
    <row r="1356" spans="1:8" x14ac:dyDescent="0.25">
      <c r="A1356" t="s">
        <v>189</v>
      </c>
      <c r="B1356" t="s">
        <v>383</v>
      </c>
      <c r="C1356">
        <v>16</v>
      </c>
      <c r="D1356">
        <v>576.1</v>
      </c>
      <c r="E1356" s="19">
        <v>45061</v>
      </c>
      <c r="F1356">
        <v>611.25</v>
      </c>
      <c r="G1356" s="19">
        <v>45082</v>
      </c>
      <c r="H1356">
        <v>-6.1013712897066439</v>
      </c>
    </row>
    <row r="1357" spans="1:8" x14ac:dyDescent="0.25">
      <c r="A1357" t="s">
        <v>190</v>
      </c>
      <c r="B1357" t="s">
        <v>383</v>
      </c>
      <c r="C1357">
        <v>52</v>
      </c>
      <c r="D1357">
        <v>1354.6</v>
      </c>
      <c r="E1357" s="19">
        <v>45586</v>
      </c>
      <c r="F1357">
        <v>1138.95</v>
      </c>
      <c r="G1357" s="19">
        <v>45660</v>
      </c>
      <c r="H1357">
        <v>15.919828731728909</v>
      </c>
    </row>
    <row r="1358" spans="1:8" x14ac:dyDescent="0.25">
      <c r="A1358" t="s">
        <v>190</v>
      </c>
      <c r="B1358" t="s">
        <v>385</v>
      </c>
      <c r="C1358">
        <v>28</v>
      </c>
      <c r="D1358">
        <v>1414.95</v>
      </c>
      <c r="E1358" s="19">
        <v>45544</v>
      </c>
      <c r="F1358">
        <v>1390.45</v>
      </c>
      <c r="G1358" s="19">
        <v>45582</v>
      </c>
      <c r="H1358">
        <v>-1.7315099473479629</v>
      </c>
    </row>
    <row r="1359" spans="1:8" x14ac:dyDescent="0.25">
      <c r="A1359" t="s">
        <v>190</v>
      </c>
      <c r="B1359" t="s">
        <v>383</v>
      </c>
      <c r="C1359">
        <v>6</v>
      </c>
      <c r="D1359">
        <v>1354.9</v>
      </c>
      <c r="E1359" s="19">
        <v>45533</v>
      </c>
      <c r="F1359">
        <v>1465.45</v>
      </c>
      <c r="G1359" s="19">
        <v>45540</v>
      </c>
      <c r="H1359">
        <v>-8.1592737471400074</v>
      </c>
    </row>
    <row r="1360" spans="1:8" x14ac:dyDescent="0.25">
      <c r="A1360" t="s">
        <v>190</v>
      </c>
      <c r="B1360" t="s">
        <v>385</v>
      </c>
      <c r="C1360">
        <v>52</v>
      </c>
      <c r="D1360">
        <v>1317.4</v>
      </c>
      <c r="E1360" s="19">
        <v>45455</v>
      </c>
      <c r="F1360">
        <v>1354.75</v>
      </c>
      <c r="G1360" s="19">
        <v>45531</v>
      </c>
      <c r="H1360">
        <v>2.8351298011234181</v>
      </c>
    </row>
    <row r="1361" spans="1:8" x14ac:dyDescent="0.25">
      <c r="A1361" t="s">
        <v>190</v>
      </c>
      <c r="B1361" t="s">
        <v>383</v>
      </c>
      <c r="C1361">
        <v>2</v>
      </c>
      <c r="D1361">
        <v>1241.45</v>
      </c>
      <c r="E1361" s="19">
        <v>45450</v>
      </c>
      <c r="F1361">
        <v>1238.55</v>
      </c>
      <c r="G1361" s="19">
        <v>45453</v>
      </c>
      <c r="H1361">
        <v>0.2335978090136607</v>
      </c>
    </row>
    <row r="1362" spans="1:8" x14ac:dyDescent="0.25">
      <c r="A1362" t="s">
        <v>190</v>
      </c>
      <c r="B1362" t="s">
        <v>385</v>
      </c>
      <c r="C1362">
        <v>10</v>
      </c>
      <c r="D1362">
        <v>1271.05</v>
      </c>
      <c r="E1362" s="19">
        <v>45435</v>
      </c>
      <c r="F1362">
        <v>1181.95</v>
      </c>
      <c r="G1362" s="19">
        <v>45448</v>
      </c>
      <c r="H1362">
        <v>-7.0099524015577606</v>
      </c>
    </row>
    <row r="1363" spans="1:8" x14ac:dyDescent="0.25">
      <c r="A1363" t="s">
        <v>190</v>
      </c>
      <c r="B1363" t="s">
        <v>383</v>
      </c>
      <c r="C1363">
        <v>69</v>
      </c>
      <c r="D1363">
        <v>1279.6500000000001</v>
      </c>
      <c r="E1363" s="19">
        <v>45330</v>
      </c>
      <c r="F1363">
        <v>1296.8499999999999</v>
      </c>
      <c r="G1363" s="19">
        <v>45433</v>
      </c>
      <c r="H1363">
        <v>-1.3441175321376799</v>
      </c>
    </row>
    <row r="1364" spans="1:8" x14ac:dyDescent="0.25">
      <c r="A1364" t="s">
        <v>190</v>
      </c>
      <c r="B1364" t="s">
        <v>385</v>
      </c>
      <c r="C1364">
        <v>43</v>
      </c>
      <c r="D1364">
        <v>1384.1</v>
      </c>
      <c r="E1364" s="19">
        <v>45266</v>
      </c>
      <c r="F1364">
        <v>1300</v>
      </c>
      <c r="G1364" s="19">
        <v>45328</v>
      </c>
      <c r="H1364">
        <v>-6.0761505671555467</v>
      </c>
    </row>
    <row r="1365" spans="1:8" x14ac:dyDescent="0.25">
      <c r="A1365" t="s">
        <v>190</v>
      </c>
      <c r="B1365" t="s">
        <v>383</v>
      </c>
      <c r="C1365">
        <v>46</v>
      </c>
      <c r="D1365">
        <v>1338.65</v>
      </c>
      <c r="E1365" s="19">
        <v>45196</v>
      </c>
      <c r="F1365">
        <v>1382.95</v>
      </c>
      <c r="G1365" s="19">
        <v>45264</v>
      </c>
      <c r="H1365">
        <v>-3.3093041497030549</v>
      </c>
    </row>
    <row r="1366" spans="1:8" x14ac:dyDescent="0.25">
      <c r="A1366" t="s">
        <v>190</v>
      </c>
      <c r="B1366" t="s">
        <v>385</v>
      </c>
      <c r="C1366">
        <v>111</v>
      </c>
      <c r="D1366">
        <v>1112.4000000000001</v>
      </c>
      <c r="E1366" s="19">
        <v>45034</v>
      </c>
      <c r="F1366">
        <v>1375.3</v>
      </c>
      <c r="G1366" s="19">
        <v>45194</v>
      </c>
      <c r="H1366">
        <v>23.633585041352021</v>
      </c>
    </row>
    <row r="1367" spans="1:8" x14ac:dyDescent="0.25">
      <c r="A1367" t="s">
        <v>191</v>
      </c>
      <c r="B1367" t="s">
        <v>385</v>
      </c>
      <c r="C1367">
        <v>23</v>
      </c>
      <c r="D1367">
        <v>923.15</v>
      </c>
      <c r="E1367" s="19">
        <v>45629</v>
      </c>
      <c r="F1367">
        <v>1160.8499999999999</v>
      </c>
      <c r="G1367" s="19">
        <v>45660</v>
      </c>
      <c r="H1367">
        <v>25.74879488707144</v>
      </c>
    </row>
    <row r="1368" spans="1:8" x14ac:dyDescent="0.25">
      <c r="A1368" t="s">
        <v>191</v>
      </c>
      <c r="B1368" t="s">
        <v>383</v>
      </c>
      <c r="C1368">
        <v>27</v>
      </c>
      <c r="D1368">
        <v>770</v>
      </c>
      <c r="E1368" s="19">
        <v>45587</v>
      </c>
      <c r="F1368">
        <v>902.35</v>
      </c>
      <c r="G1368" s="19">
        <v>45625</v>
      </c>
      <c r="H1368">
        <v>-17.188311688311689</v>
      </c>
    </row>
    <row r="1369" spans="1:8" x14ac:dyDescent="0.25">
      <c r="A1369" t="s">
        <v>191</v>
      </c>
      <c r="B1369" t="s">
        <v>385</v>
      </c>
      <c r="C1369">
        <v>13</v>
      </c>
      <c r="D1369">
        <v>856.8</v>
      </c>
      <c r="E1369" s="19">
        <v>45566</v>
      </c>
      <c r="F1369">
        <v>819.45</v>
      </c>
      <c r="G1369" s="19">
        <v>45583</v>
      </c>
      <c r="H1369">
        <v>-4.3592436974789814</v>
      </c>
    </row>
    <row r="1370" spans="1:8" x14ac:dyDescent="0.25">
      <c r="A1370" t="s">
        <v>191</v>
      </c>
      <c r="B1370" t="s">
        <v>383</v>
      </c>
      <c r="C1370">
        <v>37</v>
      </c>
      <c r="D1370">
        <v>826.05</v>
      </c>
      <c r="E1370" s="19">
        <v>45511</v>
      </c>
      <c r="F1370">
        <v>860.15</v>
      </c>
      <c r="G1370" s="19">
        <v>45562</v>
      </c>
      <c r="H1370">
        <v>-4.1280794140790542</v>
      </c>
    </row>
    <row r="1371" spans="1:8" x14ac:dyDescent="0.25">
      <c r="A1371" t="s">
        <v>191</v>
      </c>
      <c r="B1371" t="s">
        <v>385</v>
      </c>
      <c r="C1371">
        <v>29</v>
      </c>
      <c r="D1371">
        <v>926.25</v>
      </c>
      <c r="E1371" s="19">
        <v>45468</v>
      </c>
      <c r="F1371">
        <v>831.55</v>
      </c>
      <c r="G1371" s="19">
        <v>45509</v>
      </c>
      <c r="H1371">
        <v>-10.22402159244265</v>
      </c>
    </row>
    <row r="1372" spans="1:8" x14ac:dyDescent="0.25">
      <c r="A1372" t="s">
        <v>191</v>
      </c>
      <c r="B1372" t="s">
        <v>383</v>
      </c>
      <c r="C1372">
        <v>15</v>
      </c>
      <c r="D1372">
        <v>812.2</v>
      </c>
      <c r="E1372" s="19">
        <v>45443</v>
      </c>
      <c r="F1372">
        <v>905.05</v>
      </c>
      <c r="G1372" s="19">
        <v>45464</v>
      </c>
      <c r="H1372">
        <v>-11.4319133218419</v>
      </c>
    </row>
    <row r="1373" spans="1:8" x14ac:dyDescent="0.25">
      <c r="A1373" t="s">
        <v>191</v>
      </c>
      <c r="B1373" t="s">
        <v>385</v>
      </c>
      <c r="C1373">
        <v>101</v>
      </c>
      <c r="D1373">
        <v>535.70000000000005</v>
      </c>
      <c r="E1373" s="19">
        <v>45293</v>
      </c>
      <c r="F1373">
        <v>821.65</v>
      </c>
      <c r="G1373" s="19">
        <v>45441</v>
      </c>
      <c r="H1373">
        <v>53.378756766847097</v>
      </c>
    </row>
    <row r="1374" spans="1:8" x14ac:dyDescent="0.25">
      <c r="A1374" t="s">
        <v>191</v>
      </c>
      <c r="B1374" t="s">
        <v>383</v>
      </c>
      <c r="C1374">
        <v>10</v>
      </c>
      <c r="D1374">
        <v>458.8</v>
      </c>
      <c r="E1374" s="19">
        <v>45275</v>
      </c>
      <c r="F1374">
        <v>485.45</v>
      </c>
      <c r="G1374" s="19">
        <v>45289</v>
      </c>
      <c r="H1374">
        <v>-5.8086312118570138</v>
      </c>
    </row>
    <row r="1375" spans="1:8" x14ac:dyDescent="0.25">
      <c r="A1375" t="s">
        <v>191</v>
      </c>
      <c r="B1375" t="s">
        <v>385</v>
      </c>
      <c r="C1375">
        <v>6</v>
      </c>
      <c r="D1375">
        <v>495.1</v>
      </c>
      <c r="E1375" s="19">
        <v>45266</v>
      </c>
      <c r="F1375">
        <v>462.75</v>
      </c>
      <c r="G1375" s="19">
        <v>45273</v>
      </c>
      <c r="H1375">
        <v>-6.5340335285800899</v>
      </c>
    </row>
    <row r="1376" spans="1:8" x14ac:dyDescent="0.25">
      <c r="A1376" t="s">
        <v>191</v>
      </c>
      <c r="B1376" t="s">
        <v>383</v>
      </c>
      <c r="C1376">
        <v>23</v>
      </c>
      <c r="D1376">
        <v>452.3</v>
      </c>
      <c r="E1376" s="19">
        <v>45231</v>
      </c>
      <c r="F1376">
        <v>486.7</v>
      </c>
      <c r="G1376" s="19">
        <v>45264</v>
      </c>
      <c r="H1376">
        <v>-7.6055715233252217</v>
      </c>
    </row>
    <row r="1377" spans="1:8" x14ac:dyDescent="0.25">
      <c r="A1377" t="s">
        <v>191</v>
      </c>
      <c r="B1377" t="s">
        <v>385</v>
      </c>
      <c r="C1377">
        <v>125</v>
      </c>
      <c r="D1377">
        <v>345</v>
      </c>
      <c r="E1377" s="19">
        <v>45048</v>
      </c>
      <c r="F1377">
        <v>469.15</v>
      </c>
      <c r="G1377" s="19">
        <v>45229</v>
      </c>
      <c r="H1377">
        <v>35.985507246376812</v>
      </c>
    </row>
    <row r="1378" spans="1:8" x14ac:dyDescent="0.25">
      <c r="A1378" t="s">
        <v>192</v>
      </c>
      <c r="B1378" t="s">
        <v>383</v>
      </c>
      <c r="C1378">
        <v>56</v>
      </c>
      <c r="D1378">
        <v>286.3</v>
      </c>
      <c r="E1378" s="19">
        <v>45580</v>
      </c>
      <c r="F1378">
        <v>261.89999999999998</v>
      </c>
      <c r="G1378" s="19">
        <v>45660</v>
      </c>
      <c r="H1378">
        <v>8.5225288159273607</v>
      </c>
    </row>
    <row r="1379" spans="1:8" x14ac:dyDescent="0.25">
      <c r="A1379" t="s">
        <v>192</v>
      </c>
      <c r="B1379" t="s">
        <v>385</v>
      </c>
      <c r="C1379">
        <v>51</v>
      </c>
      <c r="D1379">
        <v>307.2</v>
      </c>
      <c r="E1379" s="19">
        <v>45504</v>
      </c>
      <c r="F1379">
        <v>288.75</v>
      </c>
      <c r="G1379" s="19">
        <v>45576</v>
      </c>
      <c r="H1379">
        <v>-6.0058593749999956</v>
      </c>
    </row>
    <row r="1380" spans="1:8" x14ac:dyDescent="0.25">
      <c r="A1380" t="s">
        <v>192</v>
      </c>
      <c r="B1380" t="s">
        <v>383</v>
      </c>
      <c r="C1380">
        <v>113</v>
      </c>
      <c r="D1380">
        <v>314.5</v>
      </c>
      <c r="E1380" s="19">
        <v>45335</v>
      </c>
      <c r="F1380">
        <v>281.7</v>
      </c>
      <c r="G1380" s="19">
        <v>45502</v>
      </c>
      <c r="H1380">
        <v>10.429252782193959</v>
      </c>
    </row>
    <row r="1381" spans="1:8" x14ac:dyDescent="0.25">
      <c r="A1381" t="s">
        <v>192</v>
      </c>
      <c r="B1381" t="s">
        <v>385</v>
      </c>
      <c r="C1381">
        <v>46</v>
      </c>
      <c r="D1381">
        <v>328.65</v>
      </c>
      <c r="E1381" s="19">
        <v>45266</v>
      </c>
      <c r="F1381">
        <v>315.8</v>
      </c>
      <c r="G1381" s="19">
        <v>45331</v>
      </c>
      <c r="H1381">
        <v>-3.9099345808610879</v>
      </c>
    </row>
    <row r="1382" spans="1:8" x14ac:dyDescent="0.25">
      <c r="A1382" t="s">
        <v>192</v>
      </c>
      <c r="B1382" t="s">
        <v>383</v>
      </c>
      <c r="C1382">
        <v>35</v>
      </c>
      <c r="D1382">
        <v>322.89999999999998</v>
      </c>
      <c r="E1382" s="19">
        <v>45212</v>
      </c>
      <c r="F1382">
        <v>319.45</v>
      </c>
      <c r="G1382" s="19">
        <v>45264</v>
      </c>
      <c r="H1382">
        <v>1.068442242180238</v>
      </c>
    </row>
    <row r="1383" spans="1:8" x14ac:dyDescent="0.25">
      <c r="A1383" t="s">
        <v>192</v>
      </c>
      <c r="B1383" t="s">
        <v>385</v>
      </c>
      <c r="C1383">
        <v>103</v>
      </c>
      <c r="D1383">
        <v>273.8</v>
      </c>
      <c r="E1383" s="19">
        <v>45062</v>
      </c>
      <c r="F1383">
        <v>320.55</v>
      </c>
      <c r="G1383" s="19">
        <v>45210</v>
      </c>
      <c r="H1383">
        <v>17.074506939371801</v>
      </c>
    </row>
    <row r="1384" spans="1:8" x14ac:dyDescent="0.25">
      <c r="A1384" t="s">
        <v>193</v>
      </c>
      <c r="B1384" t="s">
        <v>383</v>
      </c>
      <c r="C1384">
        <v>63</v>
      </c>
      <c r="D1384">
        <v>926</v>
      </c>
      <c r="E1384" s="19">
        <v>45569</v>
      </c>
      <c r="F1384">
        <v>936.5</v>
      </c>
      <c r="G1384" s="19">
        <v>45660</v>
      </c>
      <c r="H1384">
        <v>-1.13390928725702</v>
      </c>
    </row>
    <row r="1385" spans="1:8" x14ac:dyDescent="0.25">
      <c r="A1385" t="s">
        <v>193</v>
      </c>
      <c r="B1385" t="s">
        <v>385</v>
      </c>
      <c r="C1385">
        <v>117</v>
      </c>
      <c r="D1385">
        <v>684</v>
      </c>
      <c r="E1385" s="19">
        <v>45397</v>
      </c>
      <c r="F1385">
        <v>983.8</v>
      </c>
      <c r="G1385" s="19">
        <v>45566</v>
      </c>
      <c r="H1385">
        <v>43.830409356725141</v>
      </c>
    </row>
    <row r="1386" spans="1:8" x14ac:dyDescent="0.25">
      <c r="A1386" t="s">
        <v>193</v>
      </c>
      <c r="B1386" t="s">
        <v>383</v>
      </c>
      <c r="C1386">
        <v>12</v>
      </c>
      <c r="D1386">
        <v>631.4</v>
      </c>
      <c r="E1386" s="19">
        <v>45373</v>
      </c>
      <c r="F1386">
        <v>679.95</v>
      </c>
      <c r="G1386" s="19">
        <v>45392</v>
      </c>
      <c r="H1386">
        <v>-7.6892619575546526</v>
      </c>
    </row>
    <row r="1387" spans="1:8" x14ac:dyDescent="0.25">
      <c r="A1387" t="s">
        <v>193</v>
      </c>
      <c r="B1387" t="s">
        <v>385</v>
      </c>
      <c r="C1387">
        <v>68</v>
      </c>
      <c r="D1387">
        <v>607.25</v>
      </c>
      <c r="E1387" s="19">
        <v>45274</v>
      </c>
      <c r="F1387">
        <v>623.4</v>
      </c>
      <c r="G1387" s="19">
        <v>45371</v>
      </c>
      <c r="H1387">
        <v>2.6595306710580449</v>
      </c>
    </row>
    <row r="1388" spans="1:8" x14ac:dyDescent="0.25">
      <c r="A1388" t="s">
        <v>193</v>
      </c>
      <c r="B1388" t="s">
        <v>383</v>
      </c>
      <c r="C1388">
        <v>10</v>
      </c>
      <c r="D1388">
        <v>592</v>
      </c>
      <c r="E1388" s="19">
        <v>45259</v>
      </c>
      <c r="F1388">
        <v>606.75</v>
      </c>
      <c r="G1388" s="19">
        <v>45272</v>
      </c>
      <c r="H1388">
        <v>-2.4915540540540539</v>
      </c>
    </row>
    <row r="1389" spans="1:8" x14ac:dyDescent="0.25">
      <c r="A1389" t="s">
        <v>193</v>
      </c>
      <c r="B1389" t="s">
        <v>385</v>
      </c>
      <c r="C1389">
        <v>99</v>
      </c>
      <c r="D1389">
        <v>574</v>
      </c>
      <c r="E1389" s="19">
        <v>45112</v>
      </c>
      <c r="F1389">
        <v>592.75</v>
      </c>
      <c r="G1389" s="19">
        <v>45254</v>
      </c>
      <c r="H1389">
        <v>3.266550522648084</v>
      </c>
    </row>
    <row r="1390" spans="1:8" x14ac:dyDescent="0.25">
      <c r="A1390" t="s">
        <v>193</v>
      </c>
      <c r="B1390" t="s">
        <v>383</v>
      </c>
      <c r="C1390">
        <v>24</v>
      </c>
      <c r="D1390">
        <v>508.7</v>
      </c>
      <c r="E1390" s="19">
        <v>45076</v>
      </c>
      <c r="F1390">
        <v>510</v>
      </c>
      <c r="G1390" s="19">
        <v>45110</v>
      </c>
      <c r="H1390">
        <v>-0.2555533713387087</v>
      </c>
    </row>
    <row r="1391" spans="1:8" x14ac:dyDescent="0.25">
      <c r="A1391" t="s">
        <v>193</v>
      </c>
      <c r="B1391" t="s">
        <v>385</v>
      </c>
      <c r="C1391">
        <v>18</v>
      </c>
      <c r="D1391">
        <v>532</v>
      </c>
      <c r="E1391" s="19">
        <v>45049</v>
      </c>
      <c r="F1391">
        <v>513.45000000000005</v>
      </c>
      <c r="G1391" s="19">
        <v>45072</v>
      </c>
      <c r="H1391">
        <v>-3.48684210526315</v>
      </c>
    </row>
    <row r="1392" spans="1:8" x14ac:dyDescent="0.25">
      <c r="A1392" t="s">
        <v>194</v>
      </c>
      <c r="B1392" t="s">
        <v>385</v>
      </c>
      <c r="C1392">
        <v>157</v>
      </c>
      <c r="D1392">
        <v>3396.3</v>
      </c>
      <c r="E1392" s="19">
        <v>45433</v>
      </c>
      <c r="F1392">
        <v>7544.7</v>
      </c>
      <c r="G1392" s="19">
        <v>45660</v>
      </c>
      <c r="H1392">
        <v>122.1446868651179</v>
      </c>
    </row>
    <row r="1393" spans="1:8" x14ac:dyDescent="0.25">
      <c r="A1393" t="s">
        <v>194</v>
      </c>
      <c r="B1393" t="s">
        <v>383</v>
      </c>
      <c r="C1393">
        <v>29</v>
      </c>
      <c r="D1393">
        <v>2686.05</v>
      </c>
      <c r="E1393" s="19">
        <v>45386</v>
      </c>
      <c r="F1393">
        <v>3080.35</v>
      </c>
      <c r="G1393" s="19">
        <v>45429</v>
      </c>
      <c r="H1393">
        <v>-14.679548035218991</v>
      </c>
    </row>
    <row r="1394" spans="1:8" x14ac:dyDescent="0.25">
      <c r="A1394" t="s">
        <v>195</v>
      </c>
      <c r="B1394" t="s">
        <v>385</v>
      </c>
      <c r="C1394">
        <v>17</v>
      </c>
      <c r="D1394">
        <v>2924.85</v>
      </c>
      <c r="E1394" s="19">
        <v>45637</v>
      </c>
      <c r="F1394">
        <v>2974.35</v>
      </c>
      <c r="G1394" s="19">
        <v>45660</v>
      </c>
      <c r="H1394">
        <v>1.6923944817682961</v>
      </c>
    </row>
    <row r="1395" spans="1:8" x14ac:dyDescent="0.25">
      <c r="A1395" t="s">
        <v>195</v>
      </c>
      <c r="B1395" t="s">
        <v>383</v>
      </c>
      <c r="C1395">
        <v>54</v>
      </c>
      <c r="D1395">
        <v>2853.4</v>
      </c>
      <c r="E1395" s="19">
        <v>45555</v>
      </c>
      <c r="F1395">
        <v>2942.5</v>
      </c>
      <c r="G1395" s="19">
        <v>45635</v>
      </c>
      <c r="H1395">
        <v>-3.1225905936777139</v>
      </c>
    </row>
    <row r="1396" spans="1:8" x14ac:dyDescent="0.25">
      <c r="A1396" t="s">
        <v>195</v>
      </c>
      <c r="B1396" t="s">
        <v>385</v>
      </c>
      <c r="C1396">
        <v>67</v>
      </c>
      <c r="D1396">
        <v>2674.35</v>
      </c>
      <c r="E1396" s="19">
        <v>45456</v>
      </c>
      <c r="F1396">
        <v>3048.2</v>
      </c>
      <c r="G1396" s="19">
        <v>45553</v>
      </c>
      <c r="H1396">
        <v>13.979097724680759</v>
      </c>
    </row>
    <row r="1397" spans="1:8" x14ac:dyDescent="0.25">
      <c r="A1397" t="s">
        <v>195</v>
      </c>
      <c r="B1397" t="s">
        <v>383</v>
      </c>
      <c r="C1397">
        <v>11</v>
      </c>
      <c r="D1397">
        <v>2455.15</v>
      </c>
      <c r="E1397" s="19">
        <v>45440</v>
      </c>
      <c r="F1397">
        <v>2633.65</v>
      </c>
      <c r="G1397" s="19">
        <v>45454</v>
      </c>
      <c r="H1397">
        <v>-7.2704315418609857</v>
      </c>
    </row>
    <row r="1398" spans="1:8" x14ac:dyDescent="0.25">
      <c r="A1398" t="s">
        <v>195</v>
      </c>
      <c r="B1398" t="s">
        <v>385</v>
      </c>
      <c r="C1398">
        <v>4</v>
      </c>
      <c r="D1398">
        <v>2546.6</v>
      </c>
      <c r="E1398" s="19">
        <v>45433</v>
      </c>
      <c r="F1398">
        <v>2511.4499999999998</v>
      </c>
      <c r="G1398" s="19">
        <v>45436</v>
      </c>
      <c r="H1398">
        <v>-1.3802717348621729</v>
      </c>
    </row>
    <row r="1399" spans="1:8" x14ac:dyDescent="0.25">
      <c r="A1399" t="s">
        <v>195</v>
      </c>
      <c r="B1399" t="s">
        <v>383</v>
      </c>
      <c r="C1399">
        <v>6</v>
      </c>
      <c r="D1399">
        <v>2426</v>
      </c>
      <c r="E1399" s="19">
        <v>45422</v>
      </c>
      <c r="F1399">
        <v>2594.1999999999998</v>
      </c>
      <c r="G1399" s="19">
        <v>45429</v>
      </c>
      <c r="H1399">
        <v>-6.9332234130255497</v>
      </c>
    </row>
    <row r="1400" spans="1:8" x14ac:dyDescent="0.25">
      <c r="A1400" t="s">
        <v>195</v>
      </c>
      <c r="B1400" t="s">
        <v>385</v>
      </c>
      <c r="C1400">
        <v>9</v>
      </c>
      <c r="D1400">
        <v>2567.5</v>
      </c>
      <c r="E1400" s="19">
        <v>45407</v>
      </c>
      <c r="F1400">
        <v>2428.4499999999998</v>
      </c>
      <c r="G1400" s="19">
        <v>45420</v>
      </c>
      <c r="H1400">
        <v>-5.4157740993184103</v>
      </c>
    </row>
    <row r="1401" spans="1:8" x14ac:dyDescent="0.25">
      <c r="A1401" t="s">
        <v>195</v>
      </c>
      <c r="B1401" t="s">
        <v>383</v>
      </c>
      <c r="C1401">
        <v>46</v>
      </c>
      <c r="D1401">
        <v>2596.6</v>
      </c>
      <c r="E1401" s="19">
        <v>45336</v>
      </c>
      <c r="F1401">
        <v>2635.4</v>
      </c>
      <c r="G1401" s="19">
        <v>45405</v>
      </c>
      <c r="H1401">
        <v>-1.4942617268736109</v>
      </c>
    </row>
    <row r="1402" spans="1:8" x14ac:dyDescent="0.25">
      <c r="A1402" t="s">
        <v>195</v>
      </c>
      <c r="B1402" t="s">
        <v>385</v>
      </c>
      <c r="C1402">
        <v>207</v>
      </c>
      <c r="D1402">
        <v>1118.8499999999999</v>
      </c>
      <c r="E1402" s="19">
        <v>45033</v>
      </c>
      <c r="F1402">
        <v>2527.8000000000002</v>
      </c>
      <c r="G1402" s="19">
        <v>45334</v>
      </c>
      <c r="H1402">
        <v>125.9284086338652</v>
      </c>
    </row>
    <row r="1403" spans="1:8" x14ac:dyDescent="0.25">
      <c r="A1403" t="s">
        <v>196</v>
      </c>
      <c r="B1403" t="s">
        <v>385</v>
      </c>
      <c r="C1403">
        <v>21</v>
      </c>
      <c r="D1403">
        <v>4454</v>
      </c>
      <c r="E1403" s="19">
        <v>45631</v>
      </c>
      <c r="F1403">
        <v>4363.8500000000004</v>
      </c>
      <c r="G1403" s="19">
        <v>45660</v>
      </c>
      <c r="H1403">
        <v>-2.0240233497979259</v>
      </c>
    </row>
    <row r="1404" spans="1:8" x14ac:dyDescent="0.25">
      <c r="A1404" t="s">
        <v>196</v>
      </c>
      <c r="B1404" t="s">
        <v>383</v>
      </c>
      <c r="C1404">
        <v>30</v>
      </c>
      <c r="D1404">
        <v>4059.65</v>
      </c>
      <c r="E1404" s="19">
        <v>45586</v>
      </c>
      <c r="F1404">
        <v>4340.25</v>
      </c>
      <c r="G1404" s="19">
        <v>45629</v>
      </c>
      <c r="H1404">
        <v>-6.9119259049425423</v>
      </c>
    </row>
    <row r="1405" spans="1:8" x14ac:dyDescent="0.25">
      <c r="A1405" t="s">
        <v>196</v>
      </c>
      <c r="B1405" t="s">
        <v>385</v>
      </c>
      <c r="C1405">
        <v>3</v>
      </c>
      <c r="D1405">
        <v>4690.6499999999996</v>
      </c>
      <c r="E1405" s="19">
        <v>45580</v>
      </c>
      <c r="F1405">
        <v>4144.55</v>
      </c>
      <c r="G1405" s="19">
        <v>45582</v>
      </c>
      <c r="H1405">
        <v>-11.64230970121411</v>
      </c>
    </row>
    <row r="1406" spans="1:8" x14ac:dyDescent="0.25">
      <c r="A1406" t="s">
        <v>196</v>
      </c>
      <c r="B1406" t="s">
        <v>383</v>
      </c>
      <c r="C1406">
        <v>11</v>
      </c>
      <c r="D1406">
        <v>4196.8</v>
      </c>
      <c r="E1406" s="19">
        <v>45561</v>
      </c>
      <c r="F1406">
        <v>4575.95</v>
      </c>
      <c r="G1406" s="19">
        <v>45576</v>
      </c>
      <c r="H1406">
        <v>-9.0342642012962155</v>
      </c>
    </row>
    <row r="1407" spans="1:8" x14ac:dyDescent="0.25">
      <c r="A1407" t="s">
        <v>196</v>
      </c>
      <c r="B1407" t="s">
        <v>385</v>
      </c>
      <c r="C1407">
        <v>24</v>
      </c>
      <c r="D1407">
        <v>4700.7</v>
      </c>
      <c r="E1407" s="19">
        <v>45526</v>
      </c>
      <c r="F1407">
        <v>4305.55</v>
      </c>
      <c r="G1407" s="19">
        <v>45559</v>
      </c>
      <c r="H1407">
        <v>-8.4061948220477731</v>
      </c>
    </row>
    <row r="1408" spans="1:8" x14ac:dyDescent="0.25">
      <c r="A1408" t="s">
        <v>196</v>
      </c>
      <c r="B1408" t="s">
        <v>383</v>
      </c>
      <c r="C1408">
        <v>9</v>
      </c>
      <c r="D1408">
        <v>4137.2</v>
      </c>
      <c r="E1408" s="19">
        <v>45511</v>
      </c>
      <c r="F1408">
        <v>4709</v>
      </c>
      <c r="G1408" s="19">
        <v>45524</v>
      </c>
      <c r="H1408">
        <v>-13.820941699700279</v>
      </c>
    </row>
    <row r="1409" spans="1:8" x14ac:dyDescent="0.25">
      <c r="A1409" t="s">
        <v>196</v>
      </c>
      <c r="B1409" t="s">
        <v>385</v>
      </c>
      <c r="C1409">
        <v>176</v>
      </c>
      <c r="D1409">
        <v>2774.8</v>
      </c>
      <c r="E1409" s="19">
        <v>45250</v>
      </c>
      <c r="F1409">
        <v>4040.75</v>
      </c>
      <c r="G1409" s="19">
        <v>45509</v>
      </c>
      <c r="H1409">
        <v>45.623107971745704</v>
      </c>
    </row>
    <row r="1410" spans="1:8" x14ac:dyDescent="0.25">
      <c r="A1410" t="s">
        <v>196</v>
      </c>
      <c r="B1410" t="s">
        <v>383</v>
      </c>
      <c r="C1410">
        <v>11</v>
      </c>
      <c r="D1410">
        <v>2585.6999999999998</v>
      </c>
      <c r="E1410" s="19">
        <v>45232</v>
      </c>
      <c r="F1410">
        <v>2666.4</v>
      </c>
      <c r="G1410" s="19">
        <v>45246</v>
      </c>
      <c r="H1410">
        <v>-3.1210117182967969</v>
      </c>
    </row>
    <row r="1411" spans="1:8" x14ac:dyDescent="0.25">
      <c r="A1411" t="s">
        <v>196</v>
      </c>
      <c r="B1411" t="s">
        <v>385</v>
      </c>
      <c r="C1411">
        <v>185</v>
      </c>
      <c r="D1411">
        <v>1615.65</v>
      </c>
      <c r="E1411" s="19">
        <v>44957</v>
      </c>
      <c r="F1411">
        <v>2402.4</v>
      </c>
      <c r="G1411" s="19">
        <v>45230</v>
      </c>
      <c r="H1411">
        <v>48.695571441834552</v>
      </c>
    </row>
    <row r="1412" spans="1:8" x14ac:dyDescent="0.25">
      <c r="A1412" t="s">
        <v>198</v>
      </c>
      <c r="B1412" t="s">
        <v>383</v>
      </c>
      <c r="C1412">
        <v>49</v>
      </c>
      <c r="D1412">
        <v>623.54999999999995</v>
      </c>
      <c r="E1412" s="19">
        <v>45589</v>
      </c>
      <c r="F1412">
        <v>595.9</v>
      </c>
      <c r="G1412" s="19">
        <v>45660</v>
      </c>
      <c r="H1412">
        <v>4.4342875471092906</v>
      </c>
    </row>
    <row r="1413" spans="1:8" x14ac:dyDescent="0.25">
      <c r="A1413" t="s">
        <v>198</v>
      </c>
      <c r="B1413" t="s">
        <v>385</v>
      </c>
      <c r="C1413">
        <v>17</v>
      </c>
      <c r="D1413">
        <v>671.25</v>
      </c>
      <c r="E1413" s="19">
        <v>45562</v>
      </c>
      <c r="F1413">
        <v>635.29999999999995</v>
      </c>
      <c r="G1413" s="19">
        <v>45587</v>
      </c>
      <c r="H1413">
        <v>-5.3556797020484241</v>
      </c>
    </row>
    <row r="1414" spans="1:8" x14ac:dyDescent="0.25">
      <c r="A1414" t="s">
        <v>198</v>
      </c>
      <c r="B1414" t="s">
        <v>383</v>
      </c>
      <c r="C1414">
        <v>47</v>
      </c>
      <c r="D1414">
        <v>667</v>
      </c>
      <c r="E1414" s="19">
        <v>45495</v>
      </c>
      <c r="F1414">
        <v>675.4</v>
      </c>
      <c r="G1414" s="19">
        <v>45560</v>
      </c>
      <c r="H1414">
        <v>-1.259370314842575</v>
      </c>
    </row>
    <row r="1415" spans="1:8" x14ac:dyDescent="0.25">
      <c r="A1415" t="s">
        <v>198</v>
      </c>
      <c r="B1415" t="s">
        <v>385</v>
      </c>
      <c r="C1415">
        <v>19</v>
      </c>
      <c r="D1415">
        <v>714.95</v>
      </c>
      <c r="E1415" s="19">
        <v>45464</v>
      </c>
      <c r="F1415">
        <v>675.5</v>
      </c>
      <c r="G1415" s="19">
        <v>45491</v>
      </c>
      <c r="H1415">
        <v>-5.5178683824043704</v>
      </c>
    </row>
    <row r="1416" spans="1:8" x14ac:dyDescent="0.25">
      <c r="A1416" t="s">
        <v>198</v>
      </c>
      <c r="B1416" t="s">
        <v>383</v>
      </c>
      <c r="C1416">
        <v>107</v>
      </c>
      <c r="D1416">
        <v>745.35</v>
      </c>
      <c r="E1416" s="19">
        <v>45303</v>
      </c>
      <c r="F1416">
        <v>707.9</v>
      </c>
      <c r="G1416" s="19">
        <v>45462</v>
      </c>
      <c r="H1416">
        <v>5.0244851412088343</v>
      </c>
    </row>
    <row r="1417" spans="1:8" x14ac:dyDescent="0.25">
      <c r="A1417" t="s">
        <v>198</v>
      </c>
      <c r="B1417" t="s">
        <v>385</v>
      </c>
      <c r="C1417">
        <v>176</v>
      </c>
      <c r="D1417">
        <v>463.35</v>
      </c>
      <c r="E1417" s="19">
        <v>45044</v>
      </c>
      <c r="F1417">
        <v>749.35</v>
      </c>
      <c r="G1417" s="19">
        <v>45301</v>
      </c>
      <c r="H1417">
        <v>61.724398402935137</v>
      </c>
    </row>
    <row r="1418" spans="1:8" x14ac:dyDescent="0.25">
      <c r="A1418" t="s">
        <v>199</v>
      </c>
      <c r="B1418" t="s">
        <v>385</v>
      </c>
      <c r="C1418">
        <v>437</v>
      </c>
      <c r="D1418">
        <v>281</v>
      </c>
      <c r="E1418" s="19">
        <v>45016</v>
      </c>
      <c r="F1418">
        <v>1472.2</v>
      </c>
      <c r="G1418" s="19">
        <v>45660</v>
      </c>
      <c r="H1418">
        <v>423.91459074733098</v>
      </c>
    </row>
    <row r="1419" spans="1:8" x14ac:dyDescent="0.25">
      <c r="A1419" t="s">
        <v>200</v>
      </c>
      <c r="B1419" t="s">
        <v>385</v>
      </c>
      <c r="C1419">
        <v>53</v>
      </c>
      <c r="D1419">
        <v>378.45</v>
      </c>
      <c r="E1419" s="19">
        <v>45583</v>
      </c>
      <c r="F1419">
        <v>612.4</v>
      </c>
      <c r="G1419" s="19">
        <v>45660</v>
      </c>
      <c r="H1419">
        <v>61.81794160391069</v>
      </c>
    </row>
    <row r="1420" spans="1:8" x14ac:dyDescent="0.25">
      <c r="A1420" t="s">
        <v>200</v>
      </c>
      <c r="B1420" t="s">
        <v>383</v>
      </c>
      <c r="C1420">
        <v>11</v>
      </c>
      <c r="D1420">
        <v>361.3</v>
      </c>
      <c r="E1420" s="19">
        <v>45566</v>
      </c>
      <c r="F1420">
        <v>385.55</v>
      </c>
      <c r="G1420" s="19">
        <v>45581</v>
      </c>
      <c r="H1420">
        <v>-6.7118737890949358</v>
      </c>
    </row>
    <row r="1421" spans="1:8" x14ac:dyDescent="0.25">
      <c r="A1421" t="s">
        <v>200</v>
      </c>
      <c r="B1421" t="s">
        <v>385</v>
      </c>
      <c r="C1421">
        <v>29</v>
      </c>
      <c r="D1421">
        <v>370.15</v>
      </c>
      <c r="E1421" s="19">
        <v>45524</v>
      </c>
      <c r="F1421">
        <v>337.1</v>
      </c>
      <c r="G1421" s="19">
        <v>45562</v>
      </c>
      <c r="H1421">
        <v>-8.9288126435228854</v>
      </c>
    </row>
    <row r="1422" spans="1:8" x14ac:dyDescent="0.25">
      <c r="A1422" t="s">
        <v>200</v>
      </c>
      <c r="B1422" t="s">
        <v>383</v>
      </c>
      <c r="C1422">
        <v>5</v>
      </c>
      <c r="D1422">
        <v>334.95</v>
      </c>
      <c r="E1422" s="19">
        <v>45513</v>
      </c>
      <c r="F1422">
        <v>345.05</v>
      </c>
      <c r="G1422" s="19">
        <v>45520</v>
      </c>
      <c r="H1422">
        <v>-3.01537542916854</v>
      </c>
    </row>
    <row r="1423" spans="1:8" x14ac:dyDescent="0.25">
      <c r="A1423" t="s">
        <v>200</v>
      </c>
      <c r="B1423" t="s">
        <v>385</v>
      </c>
      <c r="C1423">
        <v>20</v>
      </c>
      <c r="D1423">
        <v>359.3</v>
      </c>
      <c r="E1423" s="19">
        <v>45483</v>
      </c>
      <c r="F1423">
        <v>328.2</v>
      </c>
      <c r="G1423" s="19">
        <v>45511</v>
      </c>
      <c r="H1423">
        <v>-8.6557194544948572</v>
      </c>
    </row>
    <row r="1424" spans="1:8" x14ac:dyDescent="0.25">
      <c r="A1424" t="s">
        <v>200</v>
      </c>
      <c r="B1424" t="s">
        <v>383</v>
      </c>
      <c r="C1424">
        <v>42</v>
      </c>
      <c r="D1424">
        <v>332.25</v>
      </c>
      <c r="E1424" s="19">
        <v>45421</v>
      </c>
      <c r="F1424">
        <v>363.85</v>
      </c>
      <c r="G1424" s="19">
        <v>45481</v>
      </c>
      <c r="H1424">
        <v>-9.510910458991729</v>
      </c>
    </row>
    <row r="1425" spans="1:8" x14ac:dyDescent="0.25">
      <c r="A1425" t="s">
        <v>200</v>
      </c>
      <c r="B1425" t="s">
        <v>385</v>
      </c>
      <c r="C1425">
        <v>6</v>
      </c>
      <c r="D1425">
        <v>369.35</v>
      </c>
      <c r="E1425" s="19">
        <v>45411</v>
      </c>
      <c r="F1425">
        <v>338.95</v>
      </c>
      <c r="G1425" s="19">
        <v>45419</v>
      </c>
      <c r="H1425">
        <v>-8.2306755110329046</v>
      </c>
    </row>
    <row r="1426" spans="1:8" x14ac:dyDescent="0.25">
      <c r="A1426" t="s">
        <v>200</v>
      </c>
      <c r="B1426" t="s">
        <v>383</v>
      </c>
      <c r="C1426">
        <v>27</v>
      </c>
      <c r="D1426">
        <v>329.15</v>
      </c>
      <c r="E1426" s="19">
        <v>45365</v>
      </c>
      <c r="F1426">
        <v>378.05</v>
      </c>
      <c r="G1426" s="19">
        <v>45407</v>
      </c>
      <c r="H1426">
        <v>-14.856448427768511</v>
      </c>
    </row>
    <row r="1427" spans="1:8" x14ac:dyDescent="0.25">
      <c r="A1427" t="s">
        <v>200</v>
      </c>
      <c r="B1427" t="s">
        <v>385</v>
      </c>
      <c r="C1427">
        <v>75</v>
      </c>
      <c r="D1427">
        <v>293.10000000000002</v>
      </c>
      <c r="E1427" s="19">
        <v>45254</v>
      </c>
      <c r="F1427">
        <v>353.2</v>
      </c>
      <c r="G1427" s="19">
        <v>45363</v>
      </c>
      <c r="H1427">
        <v>20.504947117024891</v>
      </c>
    </row>
    <row r="1428" spans="1:8" x14ac:dyDescent="0.25">
      <c r="A1428" t="s">
        <v>200</v>
      </c>
      <c r="B1428" t="s">
        <v>383</v>
      </c>
      <c r="C1428">
        <v>255</v>
      </c>
      <c r="D1428">
        <v>478.65</v>
      </c>
      <c r="E1428" s="19">
        <v>44880</v>
      </c>
      <c r="F1428">
        <v>275.05</v>
      </c>
      <c r="G1428" s="19">
        <v>45252</v>
      </c>
      <c r="H1428">
        <v>42.536300010446041</v>
      </c>
    </row>
    <row r="1429" spans="1:8" x14ac:dyDescent="0.25">
      <c r="A1429" t="s">
        <v>202</v>
      </c>
      <c r="B1429" t="s">
        <v>385</v>
      </c>
      <c r="C1429">
        <v>57</v>
      </c>
      <c r="D1429">
        <v>1397.65</v>
      </c>
      <c r="E1429" s="19">
        <v>45579</v>
      </c>
      <c r="F1429">
        <v>1540.9</v>
      </c>
      <c r="G1429" s="19">
        <v>45660</v>
      </c>
      <c r="H1429">
        <v>10.249347118377271</v>
      </c>
    </row>
    <row r="1430" spans="1:8" x14ac:dyDescent="0.25">
      <c r="A1430" t="s">
        <v>202</v>
      </c>
      <c r="B1430" t="s">
        <v>383</v>
      </c>
      <c r="C1430">
        <v>2</v>
      </c>
      <c r="D1430">
        <v>1301.5999999999999</v>
      </c>
      <c r="E1430" s="19">
        <v>45574</v>
      </c>
      <c r="F1430">
        <v>1305.75</v>
      </c>
      <c r="G1430" s="19">
        <v>45575</v>
      </c>
      <c r="H1430">
        <v>-0.31883835279656508</v>
      </c>
    </row>
    <row r="1431" spans="1:8" x14ac:dyDescent="0.25">
      <c r="A1431" t="s">
        <v>202</v>
      </c>
      <c r="B1431" t="s">
        <v>385</v>
      </c>
      <c r="C1431">
        <v>200</v>
      </c>
      <c r="D1431">
        <v>626.75</v>
      </c>
      <c r="E1431" s="19">
        <v>45278</v>
      </c>
      <c r="F1431">
        <v>1222</v>
      </c>
      <c r="G1431" s="19">
        <v>45572</v>
      </c>
      <c r="H1431">
        <v>94.974072596729158</v>
      </c>
    </row>
    <row r="1432" spans="1:8" x14ac:dyDescent="0.25">
      <c r="A1432" t="s">
        <v>204</v>
      </c>
      <c r="B1432" t="s">
        <v>385</v>
      </c>
      <c r="C1432">
        <v>21</v>
      </c>
      <c r="D1432">
        <v>332.4</v>
      </c>
      <c r="E1432" s="19">
        <v>45631</v>
      </c>
      <c r="F1432">
        <v>346.35</v>
      </c>
      <c r="G1432" s="19">
        <v>45660</v>
      </c>
      <c r="H1432">
        <v>4.1967509025270893</v>
      </c>
    </row>
    <row r="1433" spans="1:8" x14ac:dyDescent="0.25">
      <c r="A1433" t="s">
        <v>204</v>
      </c>
      <c r="B1433" t="s">
        <v>383</v>
      </c>
      <c r="C1433">
        <v>66</v>
      </c>
      <c r="D1433">
        <v>333.95</v>
      </c>
      <c r="E1433" s="19">
        <v>45533</v>
      </c>
      <c r="F1433">
        <v>327.60000000000002</v>
      </c>
      <c r="G1433" s="19">
        <v>45629</v>
      </c>
      <c r="H1433">
        <v>1.9014822578230171</v>
      </c>
    </row>
    <row r="1434" spans="1:8" x14ac:dyDescent="0.25">
      <c r="A1434" t="s">
        <v>204</v>
      </c>
      <c r="B1434" t="s">
        <v>385</v>
      </c>
      <c r="C1434">
        <v>64</v>
      </c>
      <c r="D1434">
        <v>269.75</v>
      </c>
      <c r="E1434" s="19">
        <v>45439</v>
      </c>
      <c r="F1434">
        <v>339.4</v>
      </c>
      <c r="G1434" s="19">
        <v>45531</v>
      </c>
      <c r="H1434">
        <v>25.820203892493041</v>
      </c>
    </row>
    <row r="1435" spans="1:8" x14ac:dyDescent="0.25">
      <c r="A1435" t="s">
        <v>204</v>
      </c>
      <c r="B1435" t="s">
        <v>383</v>
      </c>
      <c r="C1435">
        <v>12</v>
      </c>
      <c r="D1435">
        <v>246.5</v>
      </c>
      <c r="E1435" s="19">
        <v>45420</v>
      </c>
      <c r="F1435">
        <v>274.7</v>
      </c>
      <c r="G1435" s="19">
        <v>45435</v>
      </c>
      <c r="H1435">
        <v>-11.440162271805271</v>
      </c>
    </row>
    <row r="1436" spans="1:8" x14ac:dyDescent="0.25">
      <c r="A1436" t="s">
        <v>204</v>
      </c>
      <c r="B1436" t="s">
        <v>385</v>
      </c>
      <c r="C1436">
        <v>2</v>
      </c>
      <c r="D1436">
        <v>263.10000000000002</v>
      </c>
      <c r="E1436" s="19">
        <v>45415</v>
      </c>
      <c r="F1436">
        <v>257.64999999999998</v>
      </c>
      <c r="G1436" s="19">
        <v>45418</v>
      </c>
      <c r="H1436">
        <v>-2.071455720258474</v>
      </c>
    </row>
    <row r="1437" spans="1:8" x14ac:dyDescent="0.25">
      <c r="A1437" t="s">
        <v>204</v>
      </c>
      <c r="B1437" t="s">
        <v>383</v>
      </c>
      <c r="C1437">
        <v>30</v>
      </c>
      <c r="D1437">
        <v>245</v>
      </c>
      <c r="E1437" s="19">
        <v>45365</v>
      </c>
      <c r="F1437">
        <v>265.7</v>
      </c>
      <c r="G1437" s="19">
        <v>45412</v>
      </c>
      <c r="H1437">
        <v>-8.4489795918367303</v>
      </c>
    </row>
    <row r="1438" spans="1:8" x14ac:dyDescent="0.25">
      <c r="A1438" t="s">
        <v>204</v>
      </c>
      <c r="B1438" t="s">
        <v>385</v>
      </c>
      <c r="C1438">
        <v>27</v>
      </c>
      <c r="D1438">
        <v>283.05</v>
      </c>
      <c r="E1438" s="19">
        <v>45327</v>
      </c>
      <c r="F1438">
        <v>264.2</v>
      </c>
      <c r="G1438" s="19">
        <v>45363</v>
      </c>
      <c r="H1438">
        <v>-6.6596007772478441</v>
      </c>
    </row>
    <row r="1439" spans="1:8" x14ac:dyDescent="0.25">
      <c r="A1439" t="s">
        <v>204</v>
      </c>
      <c r="B1439" t="s">
        <v>383</v>
      </c>
      <c r="C1439">
        <v>30</v>
      </c>
      <c r="D1439">
        <v>257.95</v>
      </c>
      <c r="E1439" s="19">
        <v>45280</v>
      </c>
      <c r="F1439">
        <v>275.75</v>
      </c>
      <c r="G1439" s="19">
        <v>45323</v>
      </c>
      <c r="H1439">
        <v>-6.9005621244427262</v>
      </c>
    </row>
    <row r="1440" spans="1:8" x14ac:dyDescent="0.25">
      <c r="A1440" t="s">
        <v>204</v>
      </c>
      <c r="B1440" t="s">
        <v>385</v>
      </c>
      <c r="C1440">
        <v>19</v>
      </c>
      <c r="D1440">
        <v>298.45</v>
      </c>
      <c r="E1440" s="19">
        <v>45251</v>
      </c>
      <c r="F1440">
        <v>269.95</v>
      </c>
      <c r="G1440" s="19">
        <v>45278</v>
      </c>
      <c r="H1440">
        <v>-9.5493382476126651</v>
      </c>
    </row>
    <row r="1441" spans="1:8" x14ac:dyDescent="0.25">
      <c r="A1441" t="s">
        <v>204</v>
      </c>
      <c r="B1441" t="s">
        <v>383</v>
      </c>
      <c r="C1441">
        <v>9</v>
      </c>
      <c r="D1441">
        <v>267</v>
      </c>
      <c r="E1441" s="19">
        <v>45237</v>
      </c>
      <c r="F1441">
        <v>281.75</v>
      </c>
      <c r="G1441" s="19">
        <v>45247</v>
      </c>
      <c r="H1441">
        <v>-5.5243445692883899</v>
      </c>
    </row>
    <row r="1442" spans="1:8" x14ac:dyDescent="0.25">
      <c r="A1442" t="s">
        <v>204</v>
      </c>
      <c r="B1442" t="s">
        <v>385</v>
      </c>
      <c r="C1442">
        <v>57</v>
      </c>
      <c r="D1442">
        <v>254.7</v>
      </c>
      <c r="E1442" s="19">
        <v>45149</v>
      </c>
      <c r="F1442">
        <v>267.89999999999998</v>
      </c>
      <c r="G1442" s="19">
        <v>45233</v>
      </c>
      <c r="H1442">
        <v>5.182567726737334</v>
      </c>
    </row>
    <row r="1443" spans="1:8" x14ac:dyDescent="0.25">
      <c r="A1443" t="s">
        <v>204</v>
      </c>
      <c r="B1443" t="s">
        <v>383</v>
      </c>
      <c r="C1443">
        <v>4</v>
      </c>
      <c r="D1443">
        <v>243</v>
      </c>
      <c r="E1443" s="19">
        <v>45142</v>
      </c>
      <c r="F1443">
        <v>243.25</v>
      </c>
      <c r="G1443" s="19">
        <v>45147</v>
      </c>
      <c r="H1443">
        <v>-0.102880658436214</v>
      </c>
    </row>
    <row r="1444" spans="1:8" x14ac:dyDescent="0.25">
      <c r="A1444" t="s">
        <v>204</v>
      </c>
      <c r="B1444" t="s">
        <v>385</v>
      </c>
      <c r="C1444">
        <v>18</v>
      </c>
      <c r="D1444">
        <v>248.7</v>
      </c>
      <c r="E1444" s="19">
        <v>45117</v>
      </c>
      <c r="F1444">
        <v>240</v>
      </c>
      <c r="G1444" s="19">
        <v>45140</v>
      </c>
      <c r="H1444">
        <v>-3.4981905910735782</v>
      </c>
    </row>
    <row r="1445" spans="1:8" x14ac:dyDescent="0.25">
      <c r="A1445" t="s">
        <v>204</v>
      </c>
      <c r="B1445" t="s">
        <v>383</v>
      </c>
      <c r="C1445">
        <v>67</v>
      </c>
      <c r="D1445">
        <v>246.85</v>
      </c>
      <c r="E1445" s="19">
        <v>45013</v>
      </c>
      <c r="F1445">
        <v>249.9</v>
      </c>
      <c r="G1445" s="19">
        <v>45113</v>
      </c>
      <c r="H1445">
        <v>-1.235568158800896</v>
      </c>
    </row>
    <row r="1446" spans="1:8" x14ac:dyDescent="0.25">
      <c r="A1446" t="s">
        <v>205</v>
      </c>
      <c r="B1446" t="s">
        <v>385</v>
      </c>
      <c r="C1446">
        <v>0</v>
      </c>
      <c r="D1446">
        <v>1705.2</v>
      </c>
      <c r="E1446" s="19">
        <v>45012</v>
      </c>
      <c r="F1446">
        <v>1838.65</v>
      </c>
      <c r="G1446" s="19">
        <v>45660</v>
      </c>
      <c r="H1446">
        <v>7.8260614590663868</v>
      </c>
    </row>
    <row r="1447" spans="1:8" x14ac:dyDescent="0.25">
      <c r="A1447" t="s">
        <v>205</v>
      </c>
      <c r="B1447" t="s">
        <v>383</v>
      </c>
      <c r="C1447">
        <v>46</v>
      </c>
      <c r="D1447">
        <v>1749.85</v>
      </c>
      <c r="E1447" s="19">
        <v>45593</v>
      </c>
      <c r="F1447">
        <v>1837.15</v>
      </c>
      <c r="G1447" s="19">
        <v>45659</v>
      </c>
      <c r="H1447">
        <v>-4.9889990570620446</v>
      </c>
    </row>
    <row r="1448" spans="1:8" x14ac:dyDescent="0.25">
      <c r="A1448" t="s">
        <v>205</v>
      </c>
      <c r="B1448" t="s">
        <v>385</v>
      </c>
      <c r="C1448">
        <v>89</v>
      </c>
      <c r="D1448">
        <v>1746.7</v>
      </c>
      <c r="E1448" s="19">
        <v>45462</v>
      </c>
      <c r="F1448">
        <v>1762.2</v>
      </c>
      <c r="G1448" s="19">
        <v>45589</v>
      </c>
      <c r="H1448">
        <v>0.88738764527394509</v>
      </c>
    </row>
    <row r="1449" spans="1:8" x14ac:dyDescent="0.25">
      <c r="A1449" t="s">
        <v>205</v>
      </c>
      <c r="B1449" t="s">
        <v>383</v>
      </c>
      <c r="C1449">
        <v>34</v>
      </c>
      <c r="D1449">
        <v>1640.4</v>
      </c>
      <c r="E1449" s="19">
        <v>45411</v>
      </c>
      <c r="F1449">
        <v>1717.2</v>
      </c>
      <c r="G1449" s="19">
        <v>45457</v>
      </c>
      <c r="H1449">
        <v>-4.6817849305047519</v>
      </c>
    </row>
    <row r="1450" spans="1:8" x14ac:dyDescent="0.25">
      <c r="A1450" t="s">
        <v>205</v>
      </c>
      <c r="B1450" t="s">
        <v>385</v>
      </c>
      <c r="C1450">
        <v>10</v>
      </c>
      <c r="D1450">
        <v>1825.95</v>
      </c>
      <c r="E1450" s="19">
        <v>45392</v>
      </c>
      <c r="F1450">
        <v>1642.45</v>
      </c>
      <c r="G1450" s="19">
        <v>45407</v>
      </c>
      <c r="H1450">
        <v>-10.049563241052599</v>
      </c>
    </row>
    <row r="1451" spans="1:8" x14ac:dyDescent="0.25">
      <c r="A1451" t="s">
        <v>205</v>
      </c>
      <c r="B1451" t="s">
        <v>383</v>
      </c>
      <c r="C1451">
        <v>49</v>
      </c>
      <c r="D1451">
        <v>1822.9</v>
      </c>
      <c r="E1451" s="19">
        <v>45320</v>
      </c>
      <c r="F1451">
        <v>1788.4</v>
      </c>
      <c r="G1451" s="19">
        <v>45390</v>
      </c>
      <c r="H1451">
        <v>1.8925887322398369</v>
      </c>
    </row>
    <row r="1452" spans="1:8" x14ac:dyDescent="0.25">
      <c r="A1452" t="s">
        <v>205</v>
      </c>
      <c r="B1452" t="s">
        <v>385</v>
      </c>
      <c r="C1452">
        <v>35</v>
      </c>
      <c r="D1452">
        <v>1821.4</v>
      </c>
      <c r="E1452" s="19">
        <v>45266</v>
      </c>
      <c r="F1452">
        <v>1788.6</v>
      </c>
      <c r="G1452" s="19">
        <v>45315</v>
      </c>
      <c r="H1452">
        <v>-1.8008125617656841</v>
      </c>
    </row>
    <row r="1453" spans="1:8" x14ac:dyDescent="0.25">
      <c r="A1453" t="s">
        <v>205</v>
      </c>
      <c r="B1453" t="s">
        <v>383</v>
      </c>
      <c r="C1453">
        <v>83</v>
      </c>
      <c r="D1453">
        <v>1823.9</v>
      </c>
      <c r="E1453" s="19">
        <v>45141</v>
      </c>
      <c r="F1453">
        <v>1818.55</v>
      </c>
      <c r="G1453" s="19">
        <v>45264</v>
      </c>
      <c r="H1453">
        <v>0.29332748505949541</v>
      </c>
    </row>
    <row r="1454" spans="1:8" x14ac:dyDescent="0.25">
      <c r="A1454" t="s">
        <v>205</v>
      </c>
      <c r="B1454" t="s">
        <v>385</v>
      </c>
      <c r="C1454">
        <v>8</v>
      </c>
      <c r="D1454">
        <v>1971</v>
      </c>
      <c r="E1454" s="19">
        <v>45128</v>
      </c>
      <c r="F1454">
        <v>1850</v>
      </c>
      <c r="G1454" s="19">
        <v>45139</v>
      </c>
      <c r="H1454">
        <v>-6.1390157280568234</v>
      </c>
    </row>
    <row r="1455" spans="1:8" x14ac:dyDescent="0.25">
      <c r="A1455" t="s">
        <v>205</v>
      </c>
      <c r="B1455" t="s">
        <v>383</v>
      </c>
      <c r="C1455">
        <v>19</v>
      </c>
      <c r="D1455">
        <v>1833</v>
      </c>
      <c r="E1455" s="19">
        <v>45099</v>
      </c>
      <c r="F1455">
        <v>1907.8</v>
      </c>
      <c r="G1455" s="19">
        <v>45126</v>
      </c>
      <c r="H1455">
        <v>-4.0807419530823763</v>
      </c>
    </row>
    <row r="1456" spans="1:8" x14ac:dyDescent="0.25">
      <c r="A1456" t="s">
        <v>205</v>
      </c>
      <c r="B1456" t="s">
        <v>385</v>
      </c>
      <c r="C1456">
        <v>47</v>
      </c>
      <c r="D1456">
        <v>1869.5</v>
      </c>
      <c r="E1456" s="19">
        <v>45029</v>
      </c>
      <c r="F1456">
        <v>1839.35</v>
      </c>
      <c r="G1456" s="19">
        <v>45097</v>
      </c>
      <c r="H1456">
        <v>-1.6127306766515159</v>
      </c>
    </row>
    <row r="1457" spans="1:8" x14ac:dyDescent="0.25">
      <c r="A1457" t="s">
        <v>207</v>
      </c>
      <c r="B1457" t="s">
        <v>385</v>
      </c>
      <c r="C1457">
        <v>25</v>
      </c>
      <c r="D1457">
        <v>308.25</v>
      </c>
      <c r="E1457" s="19">
        <v>45625</v>
      </c>
      <c r="F1457">
        <v>305.10000000000002</v>
      </c>
      <c r="G1457" s="19">
        <v>45660</v>
      </c>
      <c r="H1457">
        <v>-1.0218978102189711</v>
      </c>
    </row>
    <row r="1458" spans="1:8" x14ac:dyDescent="0.25">
      <c r="A1458" t="s">
        <v>207</v>
      </c>
      <c r="B1458" t="s">
        <v>383</v>
      </c>
      <c r="C1458">
        <v>35</v>
      </c>
      <c r="D1458">
        <v>283.5</v>
      </c>
      <c r="E1458" s="19">
        <v>45573</v>
      </c>
      <c r="F1458">
        <v>306.89999999999998</v>
      </c>
      <c r="G1458" s="19">
        <v>45623</v>
      </c>
      <c r="H1458">
        <v>-8.253968253968246</v>
      </c>
    </row>
    <row r="1459" spans="1:8" x14ac:dyDescent="0.25">
      <c r="A1459" t="s">
        <v>207</v>
      </c>
      <c r="B1459" t="s">
        <v>385</v>
      </c>
      <c r="C1459">
        <v>22</v>
      </c>
      <c r="D1459">
        <v>307</v>
      </c>
      <c r="E1459" s="19">
        <v>45539</v>
      </c>
      <c r="F1459">
        <v>294.3</v>
      </c>
      <c r="G1459" s="19">
        <v>45569</v>
      </c>
      <c r="H1459">
        <v>-4.1368078175895731</v>
      </c>
    </row>
    <row r="1460" spans="1:8" x14ac:dyDescent="0.25">
      <c r="A1460" t="s">
        <v>207</v>
      </c>
      <c r="B1460" t="s">
        <v>383</v>
      </c>
      <c r="C1460">
        <v>17</v>
      </c>
      <c r="D1460">
        <v>280.39999999999998</v>
      </c>
      <c r="E1460" s="19">
        <v>45512</v>
      </c>
      <c r="F1460">
        <v>305.8</v>
      </c>
      <c r="G1460" s="19">
        <v>45537</v>
      </c>
      <c r="H1460">
        <v>-9.0584878744650634</v>
      </c>
    </row>
    <row r="1461" spans="1:8" x14ac:dyDescent="0.25">
      <c r="A1461" t="s">
        <v>207</v>
      </c>
      <c r="B1461" t="s">
        <v>385</v>
      </c>
      <c r="C1461">
        <v>28</v>
      </c>
      <c r="D1461">
        <v>284.39999999999998</v>
      </c>
      <c r="E1461" s="19">
        <v>45470</v>
      </c>
      <c r="F1461">
        <v>275.60000000000002</v>
      </c>
      <c r="G1461" s="19">
        <v>45510</v>
      </c>
      <c r="H1461">
        <v>-3.0942334739802941</v>
      </c>
    </row>
    <row r="1462" spans="1:8" x14ac:dyDescent="0.25">
      <c r="A1462" t="s">
        <v>207</v>
      </c>
      <c r="B1462" t="s">
        <v>383</v>
      </c>
      <c r="C1462">
        <v>97</v>
      </c>
      <c r="D1462">
        <v>360.35</v>
      </c>
      <c r="E1462" s="19">
        <v>45324</v>
      </c>
      <c r="F1462">
        <v>295.8</v>
      </c>
      <c r="G1462" s="19">
        <v>45468</v>
      </c>
      <c r="H1462">
        <v>17.91314000277508</v>
      </c>
    </row>
    <row r="1463" spans="1:8" x14ac:dyDescent="0.25">
      <c r="A1463" t="s">
        <v>207</v>
      </c>
      <c r="B1463" t="s">
        <v>385</v>
      </c>
      <c r="C1463">
        <v>17</v>
      </c>
      <c r="D1463">
        <v>369.6</v>
      </c>
      <c r="E1463" s="19">
        <v>45299</v>
      </c>
      <c r="F1463">
        <v>359.85</v>
      </c>
      <c r="G1463" s="19">
        <v>45322</v>
      </c>
      <c r="H1463">
        <v>-2.6379870129870131</v>
      </c>
    </row>
    <row r="1464" spans="1:8" x14ac:dyDescent="0.25">
      <c r="A1464" t="s">
        <v>207</v>
      </c>
      <c r="B1464" t="s">
        <v>383</v>
      </c>
      <c r="C1464">
        <v>56</v>
      </c>
      <c r="D1464">
        <v>380.6</v>
      </c>
      <c r="E1464" s="19">
        <v>45215</v>
      </c>
      <c r="F1464">
        <v>373.25</v>
      </c>
      <c r="G1464" s="19">
        <v>45295</v>
      </c>
      <c r="H1464">
        <v>1.9311613242249139</v>
      </c>
    </row>
    <row r="1465" spans="1:8" x14ac:dyDescent="0.25">
      <c r="A1465" t="s">
        <v>207</v>
      </c>
      <c r="B1465" t="s">
        <v>385</v>
      </c>
      <c r="C1465">
        <v>53</v>
      </c>
      <c r="D1465">
        <v>374</v>
      </c>
      <c r="E1465" s="19">
        <v>45134</v>
      </c>
      <c r="F1465">
        <v>389.2</v>
      </c>
      <c r="G1465" s="19">
        <v>45211</v>
      </c>
      <c r="H1465">
        <v>4.06417112299465</v>
      </c>
    </row>
    <row r="1466" spans="1:8" x14ac:dyDescent="0.25">
      <c r="A1466" t="s">
        <v>207</v>
      </c>
      <c r="B1466" t="s">
        <v>383</v>
      </c>
      <c r="C1466">
        <v>31</v>
      </c>
      <c r="D1466">
        <v>344.15</v>
      </c>
      <c r="E1466" s="19">
        <v>45089</v>
      </c>
      <c r="F1466">
        <v>380.7</v>
      </c>
      <c r="G1466" s="19">
        <v>45132</v>
      </c>
      <c r="H1466">
        <v>-10.620369025134391</v>
      </c>
    </row>
    <row r="1467" spans="1:8" x14ac:dyDescent="0.25">
      <c r="A1467" t="s">
        <v>207</v>
      </c>
      <c r="B1467" t="s">
        <v>385</v>
      </c>
      <c r="C1467">
        <v>30</v>
      </c>
      <c r="D1467">
        <v>386.4</v>
      </c>
      <c r="E1467" s="19">
        <v>45043</v>
      </c>
      <c r="F1467">
        <v>359.75</v>
      </c>
      <c r="G1467" s="19">
        <v>45085</v>
      </c>
      <c r="H1467">
        <v>-6.8969979296066199</v>
      </c>
    </row>
    <row r="1468" spans="1:8" x14ac:dyDescent="0.25">
      <c r="A1468" t="s">
        <v>208</v>
      </c>
      <c r="B1468" t="s">
        <v>385</v>
      </c>
      <c r="C1468">
        <v>134</v>
      </c>
      <c r="D1468">
        <v>410.96</v>
      </c>
      <c r="E1468" s="19">
        <v>45467</v>
      </c>
      <c r="F1468">
        <v>627.70000000000005</v>
      </c>
      <c r="G1468" s="19">
        <v>45660</v>
      </c>
      <c r="H1468">
        <v>52.739926026863948</v>
      </c>
    </row>
    <row r="1469" spans="1:8" x14ac:dyDescent="0.25">
      <c r="A1469" t="s">
        <v>208</v>
      </c>
      <c r="B1469" t="s">
        <v>383</v>
      </c>
      <c r="C1469">
        <v>62</v>
      </c>
      <c r="D1469">
        <v>397.14</v>
      </c>
      <c r="E1469" s="19">
        <v>45370</v>
      </c>
      <c r="F1469">
        <v>413.93</v>
      </c>
      <c r="G1469" s="19">
        <v>45463</v>
      </c>
      <c r="H1469">
        <v>-4.2277282570378256</v>
      </c>
    </row>
    <row r="1470" spans="1:8" x14ac:dyDescent="0.25">
      <c r="A1470" t="s">
        <v>208</v>
      </c>
      <c r="B1470" t="s">
        <v>385</v>
      </c>
      <c r="C1470">
        <v>73</v>
      </c>
      <c r="D1470">
        <v>394.55</v>
      </c>
      <c r="E1470" s="19">
        <v>45264</v>
      </c>
      <c r="F1470">
        <v>402.07</v>
      </c>
      <c r="G1470" s="19">
        <v>45366</v>
      </c>
      <c r="H1470">
        <v>1.905968825243944</v>
      </c>
    </row>
    <row r="1471" spans="1:8" x14ac:dyDescent="0.25">
      <c r="A1471" t="s">
        <v>208</v>
      </c>
      <c r="B1471" t="s">
        <v>383</v>
      </c>
      <c r="C1471">
        <v>26</v>
      </c>
      <c r="D1471">
        <v>366.46</v>
      </c>
      <c r="E1471" s="19">
        <v>45224</v>
      </c>
      <c r="F1471">
        <v>390</v>
      </c>
      <c r="G1471" s="19">
        <v>45260</v>
      </c>
      <c r="H1471">
        <v>-6.4236205861485622</v>
      </c>
    </row>
    <row r="1472" spans="1:8" x14ac:dyDescent="0.25">
      <c r="A1472" t="s">
        <v>208</v>
      </c>
      <c r="B1472" t="s">
        <v>385</v>
      </c>
      <c r="C1472">
        <v>130</v>
      </c>
      <c r="D1472">
        <v>302</v>
      </c>
      <c r="E1472" s="19">
        <v>45033</v>
      </c>
      <c r="F1472">
        <v>389.78</v>
      </c>
      <c r="G1472" s="19">
        <v>45219</v>
      </c>
      <c r="H1472">
        <v>29.066225165562901</v>
      </c>
    </row>
    <row r="1473" spans="1:8" x14ac:dyDescent="0.25">
      <c r="A1473" t="s">
        <v>209</v>
      </c>
      <c r="B1473" t="s">
        <v>383</v>
      </c>
      <c r="C1473">
        <v>97</v>
      </c>
      <c r="D1473">
        <v>915.75</v>
      </c>
      <c r="E1473" s="19">
        <v>45520</v>
      </c>
      <c r="F1473">
        <v>767.1</v>
      </c>
      <c r="G1473" s="19">
        <v>45660</v>
      </c>
      <c r="H1473">
        <v>16.232596232596229</v>
      </c>
    </row>
    <row r="1474" spans="1:8" x14ac:dyDescent="0.25">
      <c r="A1474" t="s">
        <v>209</v>
      </c>
      <c r="B1474" t="s">
        <v>385</v>
      </c>
      <c r="C1474">
        <v>262</v>
      </c>
      <c r="D1474">
        <v>440.32</v>
      </c>
      <c r="E1474" s="19">
        <v>45132</v>
      </c>
      <c r="F1474">
        <v>919</v>
      </c>
      <c r="G1474" s="19">
        <v>45517</v>
      </c>
      <c r="H1474">
        <v>108.7118459302326</v>
      </c>
    </row>
    <row r="1475" spans="1:8" x14ac:dyDescent="0.25">
      <c r="A1475" t="s">
        <v>209</v>
      </c>
      <c r="B1475" t="s">
        <v>383</v>
      </c>
      <c r="C1475">
        <v>9</v>
      </c>
      <c r="D1475">
        <v>414.6</v>
      </c>
      <c r="E1475" s="19">
        <v>45118</v>
      </c>
      <c r="F1475">
        <v>437.19</v>
      </c>
      <c r="G1475" s="19">
        <v>45128</v>
      </c>
      <c r="H1475">
        <v>-5.4486251808972437</v>
      </c>
    </row>
    <row r="1476" spans="1:8" x14ac:dyDescent="0.25">
      <c r="A1476" t="s">
        <v>209</v>
      </c>
      <c r="B1476" t="s">
        <v>385</v>
      </c>
      <c r="C1476">
        <v>85</v>
      </c>
      <c r="D1476">
        <v>393.28</v>
      </c>
      <c r="E1476" s="19">
        <v>44987</v>
      </c>
      <c r="F1476">
        <v>420.32</v>
      </c>
      <c r="G1476" s="19">
        <v>45114</v>
      </c>
      <c r="H1476">
        <v>6.8755085435313319</v>
      </c>
    </row>
    <row r="1477" spans="1:8" x14ac:dyDescent="0.25">
      <c r="A1477" t="s">
        <v>210</v>
      </c>
      <c r="B1477" t="s">
        <v>385</v>
      </c>
      <c r="C1477">
        <v>21</v>
      </c>
      <c r="D1477">
        <v>427.15</v>
      </c>
      <c r="E1477" s="19">
        <v>45631</v>
      </c>
      <c r="F1477">
        <v>431.15</v>
      </c>
      <c r="G1477" s="19">
        <v>45660</v>
      </c>
      <c r="H1477">
        <v>0.93643918998010078</v>
      </c>
    </row>
    <row r="1478" spans="1:8" x14ac:dyDescent="0.25">
      <c r="A1478" t="s">
        <v>210</v>
      </c>
      <c r="B1478" t="s">
        <v>383</v>
      </c>
      <c r="C1478">
        <v>11</v>
      </c>
      <c r="D1478">
        <v>343.35</v>
      </c>
      <c r="E1478" s="19">
        <v>45614</v>
      </c>
      <c r="F1478">
        <v>413.5</v>
      </c>
      <c r="G1478" s="19">
        <v>45629</v>
      </c>
      <c r="H1478">
        <v>-20.431047036551622</v>
      </c>
    </row>
    <row r="1479" spans="1:8" x14ac:dyDescent="0.25">
      <c r="A1479" t="s">
        <v>210</v>
      </c>
      <c r="B1479" t="s">
        <v>385</v>
      </c>
      <c r="C1479">
        <v>153</v>
      </c>
      <c r="D1479">
        <v>208.1</v>
      </c>
      <c r="E1479" s="19">
        <v>45386</v>
      </c>
      <c r="F1479">
        <v>365.5</v>
      </c>
      <c r="G1479" s="19">
        <v>45609</v>
      </c>
      <c r="H1479">
        <v>75.636713118692938</v>
      </c>
    </row>
    <row r="1480" spans="1:8" x14ac:dyDescent="0.25">
      <c r="A1480" t="s">
        <v>210</v>
      </c>
      <c r="B1480" t="s">
        <v>383</v>
      </c>
      <c r="C1480">
        <v>42</v>
      </c>
      <c r="D1480">
        <v>199.2</v>
      </c>
      <c r="E1480" s="19">
        <v>45323</v>
      </c>
      <c r="F1480">
        <v>200.6</v>
      </c>
      <c r="G1480" s="19">
        <v>45384</v>
      </c>
      <c r="H1480">
        <v>-0.70281124497992264</v>
      </c>
    </row>
    <row r="1481" spans="1:8" x14ac:dyDescent="0.25">
      <c r="A1481" t="s">
        <v>210</v>
      </c>
      <c r="B1481" t="s">
        <v>385</v>
      </c>
      <c r="C1481">
        <v>189</v>
      </c>
      <c r="D1481">
        <v>110.7</v>
      </c>
      <c r="E1481" s="19">
        <v>45044</v>
      </c>
      <c r="F1481">
        <v>196.6</v>
      </c>
      <c r="G1481" s="19">
        <v>45321</v>
      </c>
      <c r="H1481">
        <v>77.597109304426368</v>
      </c>
    </row>
    <row r="1482" spans="1:8" x14ac:dyDescent="0.25">
      <c r="A1482" t="s">
        <v>211</v>
      </c>
      <c r="B1482" t="s">
        <v>383</v>
      </c>
      <c r="C1482">
        <v>56</v>
      </c>
      <c r="D1482">
        <v>168.05</v>
      </c>
      <c r="E1482" s="19">
        <v>45580</v>
      </c>
      <c r="F1482">
        <v>143.44</v>
      </c>
      <c r="G1482" s="19">
        <v>45660</v>
      </c>
      <c r="H1482">
        <v>14.644451056233271</v>
      </c>
    </row>
    <row r="1483" spans="1:8" x14ac:dyDescent="0.25">
      <c r="A1483" t="s">
        <v>211</v>
      </c>
      <c r="B1483" t="s">
        <v>385</v>
      </c>
      <c r="C1483">
        <v>16</v>
      </c>
      <c r="D1483">
        <v>178</v>
      </c>
      <c r="E1483" s="19">
        <v>45554</v>
      </c>
      <c r="F1483">
        <v>163.76</v>
      </c>
      <c r="G1483" s="19">
        <v>45576</v>
      </c>
      <c r="H1483">
        <v>-8.0000000000000053</v>
      </c>
    </row>
    <row r="1484" spans="1:8" x14ac:dyDescent="0.25">
      <c r="A1484" t="s">
        <v>211</v>
      </c>
      <c r="B1484" t="s">
        <v>383</v>
      </c>
      <c r="C1484">
        <v>26</v>
      </c>
      <c r="D1484">
        <v>168.02</v>
      </c>
      <c r="E1484" s="19">
        <v>45516</v>
      </c>
      <c r="F1484">
        <v>175.85</v>
      </c>
      <c r="G1484" s="19">
        <v>45552</v>
      </c>
      <c r="H1484">
        <v>-4.6601595048208448</v>
      </c>
    </row>
    <row r="1485" spans="1:8" x14ac:dyDescent="0.25">
      <c r="A1485" t="s">
        <v>211</v>
      </c>
      <c r="B1485" t="s">
        <v>385</v>
      </c>
      <c r="C1485">
        <v>38</v>
      </c>
      <c r="D1485">
        <v>181.87</v>
      </c>
      <c r="E1485" s="19">
        <v>45457</v>
      </c>
      <c r="F1485">
        <v>165.65</v>
      </c>
      <c r="G1485" s="19">
        <v>45512</v>
      </c>
      <c r="H1485">
        <v>-8.9184582394017689</v>
      </c>
    </row>
    <row r="1486" spans="1:8" x14ac:dyDescent="0.25">
      <c r="A1486" t="s">
        <v>211</v>
      </c>
      <c r="B1486" t="s">
        <v>383</v>
      </c>
      <c r="C1486">
        <v>23</v>
      </c>
      <c r="D1486">
        <v>157.19999999999999</v>
      </c>
      <c r="E1486" s="19">
        <v>45425</v>
      </c>
      <c r="F1486">
        <v>170.62</v>
      </c>
      <c r="G1486" s="19">
        <v>45455</v>
      </c>
      <c r="H1486">
        <v>-8.5368956743002649</v>
      </c>
    </row>
    <row r="1487" spans="1:8" x14ac:dyDescent="0.25">
      <c r="A1487" t="s">
        <v>211</v>
      </c>
      <c r="B1487" t="s">
        <v>385</v>
      </c>
      <c r="C1487">
        <v>19</v>
      </c>
      <c r="D1487">
        <v>169.05</v>
      </c>
      <c r="E1487" s="19">
        <v>45392</v>
      </c>
      <c r="F1487">
        <v>157.05000000000001</v>
      </c>
      <c r="G1487" s="19">
        <v>45421</v>
      </c>
      <c r="H1487">
        <v>-7.0984915705412597</v>
      </c>
    </row>
    <row r="1488" spans="1:8" x14ac:dyDescent="0.25">
      <c r="A1488" t="s">
        <v>211</v>
      </c>
      <c r="B1488" t="s">
        <v>383</v>
      </c>
      <c r="C1488">
        <v>16</v>
      </c>
      <c r="D1488">
        <v>149.19999999999999</v>
      </c>
      <c r="E1488" s="19">
        <v>45365</v>
      </c>
      <c r="F1488">
        <v>168.85</v>
      </c>
      <c r="G1488" s="19">
        <v>45390</v>
      </c>
      <c r="H1488">
        <v>-13.170241286863281</v>
      </c>
    </row>
    <row r="1489" spans="1:8" x14ac:dyDescent="0.25">
      <c r="A1489" t="s">
        <v>211</v>
      </c>
      <c r="B1489" t="s">
        <v>385</v>
      </c>
      <c r="C1489">
        <v>220</v>
      </c>
      <c r="D1489">
        <v>90.85</v>
      </c>
      <c r="E1489" s="19">
        <v>45043</v>
      </c>
      <c r="F1489">
        <v>155.55000000000001</v>
      </c>
      <c r="G1489" s="19">
        <v>45363</v>
      </c>
      <c r="H1489">
        <v>71.216290588882799</v>
      </c>
    </row>
    <row r="1490" spans="1:8" x14ac:dyDescent="0.25">
      <c r="A1490" t="s">
        <v>212</v>
      </c>
      <c r="B1490" t="s">
        <v>385</v>
      </c>
      <c r="C1490">
        <v>27</v>
      </c>
      <c r="D1490">
        <v>3698.7</v>
      </c>
      <c r="E1490" s="19">
        <v>45623</v>
      </c>
      <c r="F1490">
        <v>3659.9</v>
      </c>
      <c r="G1490" s="19">
        <v>45660</v>
      </c>
      <c r="H1490">
        <v>-1.049017222267276</v>
      </c>
    </row>
    <row r="1491" spans="1:8" x14ac:dyDescent="0.25">
      <c r="A1491" t="s">
        <v>212</v>
      </c>
      <c r="B1491" t="s">
        <v>383</v>
      </c>
      <c r="C1491">
        <v>33</v>
      </c>
      <c r="D1491">
        <v>3532.4</v>
      </c>
      <c r="E1491" s="19">
        <v>45573</v>
      </c>
      <c r="F1491">
        <v>3753</v>
      </c>
      <c r="G1491" s="19">
        <v>45621</v>
      </c>
      <c r="H1491">
        <v>-6.2450458611708726</v>
      </c>
    </row>
    <row r="1492" spans="1:8" x14ac:dyDescent="0.25">
      <c r="A1492" t="s">
        <v>212</v>
      </c>
      <c r="B1492" t="s">
        <v>385</v>
      </c>
      <c r="C1492">
        <v>26</v>
      </c>
      <c r="D1492">
        <v>3683.45</v>
      </c>
      <c r="E1492" s="19">
        <v>45533</v>
      </c>
      <c r="F1492">
        <v>3493.95</v>
      </c>
      <c r="G1492" s="19">
        <v>45569</v>
      </c>
      <c r="H1492">
        <v>-5.144633427900474</v>
      </c>
    </row>
    <row r="1493" spans="1:8" x14ac:dyDescent="0.25">
      <c r="A1493" t="s">
        <v>212</v>
      </c>
      <c r="B1493" t="s">
        <v>383</v>
      </c>
      <c r="C1493">
        <v>7</v>
      </c>
      <c r="D1493">
        <v>3555.05</v>
      </c>
      <c r="E1493" s="19">
        <v>45523</v>
      </c>
      <c r="F1493">
        <v>3702.7</v>
      </c>
      <c r="G1493" s="19">
        <v>45531</v>
      </c>
      <c r="H1493">
        <v>-4.1532467897779108</v>
      </c>
    </row>
    <row r="1494" spans="1:8" x14ac:dyDescent="0.25">
      <c r="A1494" t="s">
        <v>212</v>
      </c>
      <c r="B1494" t="s">
        <v>385</v>
      </c>
      <c r="C1494">
        <v>52</v>
      </c>
      <c r="D1494">
        <v>3669.3</v>
      </c>
      <c r="E1494" s="19">
        <v>45443</v>
      </c>
      <c r="F1494">
        <v>3545.2</v>
      </c>
      <c r="G1494" s="19">
        <v>45518</v>
      </c>
      <c r="H1494">
        <v>-3.3821164799825678</v>
      </c>
    </row>
    <row r="1495" spans="1:8" x14ac:dyDescent="0.25">
      <c r="A1495" t="s">
        <v>212</v>
      </c>
      <c r="B1495" t="s">
        <v>383</v>
      </c>
      <c r="C1495">
        <v>16</v>
      </c>
      <c r="D1495">
        <v>3486.85</v>
      </c>
      <c r="E1495" s="19">
        <v>45420</v>
      </c>
      <c r="F1495">
        <v>3634.8</v>
      </c>
      <c r="G1495" s="19">
        <v>45441</v>
      </c>
      <c r="H1495">
        <v>-4.2430847326383487</v>
      </c>
    </row>
    <row r="1496" spans="1:8" x14ac:dyDescent="0.25">
      <c r="A1496" t="s">
        <v>212</v>
      </c>
      <c r="B1496" t="s">
        <v>385</v>
      </c>
      <c r="C1496">
        <v>41</v>
      </c>
      <c r="D1496">
        <v>3655.25</v>
      </c>
      <c r="E1496" s="19">
        <v>45353</v>
      </c>
      <c r="F1496">
        <v>3463.3</v>
      </c>
      <c r="G1496" s="19">
        <v>45418</v>
      </c>
      <c r="H1496">
        <v>-5.2513507967991204</v>
      </c>
    </row>
    <row r="1497" spans="1:8" x14ac:dyDescent="0.25">
      <c r="A1497" t="s">
        <v>212</v>
      </c>
      <c r="B1497" t="s">
        <v>383</v>
      </c>
      <c r="C1497">
        <v>8</v>
      </c>
      <c r="D1497">
        <v>3356.75</v>
      </c>
      <c r="E1497" s="19">
        <v>45342</v>
      </c>
      <c r="F1497">
        <v>3477.55</v>
      </c>
      <c r="G1497" s="19">
        <v>45351</v>
      </c>
      <c r="H1497">
        <v>-3.5987189990318069</v>
      </c>
    </row>
    <row r="1498" spans="1:8" x14ac:dyDescent="0.25">
      <c r="A1498" t="s">
        <v>212</v>
      </c>
      <c r="B1498" t="s">
        <v>385</v>
      </c>
      <c r="C1498">
        <v>174</v>
      </c>
      <c r="D1498">
        <v>2340.3000000000002</v>
      </c>
      <c r="E1498" s="19">
        <v>45085</v>
      </c>
      <c r="F1498">
        <v>3386.75</v>
      </c>
      <c r="G1498" s="19">
        <v>45338</v>
      </c>
      <c r="H1498">
        <v>44.714352860744341</v>
      </c>
    </row>
    <row r="1499" spans="1:8" x14ac:dyDescent="0.25">
      <c r="A1499" t="s">
        <v>212</v>
      </c>
      <c r="B1499" t="s">
        <v>383</v>
      </c>
      <c r="C1499">
        <v>5</v>
      </c>
      <c r="D1499">
        <v>2205.65</v>
      </c>
      <c r="E1499" s="19">
        <v>45077</v>
      </c>
      <c r="F1499">
        <v>2277.9499999999998</v>
      </c>
      <c r="G1499" s="19">
        <v>45083</v>
      </c>
      <c r="H1499">
        <v>-3.2779452769024879</v>
      </c>
    </row>
    <row r="1500" spans="1:8" x14ac:dyDescent="0.25">
      <c r="A1500" t="s">
        <v>212</v>
      </c>
      <c r="B1500" t="s">
        <v>385</v>
      </c>
      <c r="C1500">
        <v>213</v>
      </c>
      <c r="D1500">
        <v>1727.65</v>
      </c>
      <c r="E1500" s="19">
        <v>44760</v>
      </c>
      <c r="F1500">
        <v>2224.5500000000002</v>
      </c>
      <c r="G1500" s="19">
        <v>45075</v>
      </c>
      <c r="H1500">
        <v>28.761612595143699</v>
      </c>
    </row>
    <row r="1501" spans="1:8" x14ac:dyDescent="0.25">
      <c r="A1501" t="s">
        <v>213</v>
      </c>
      <c r="B1501" t="s">
        <v>385</v>
      </c>
      <c r="C1501">
        <v>17</v>
      </c>
      <c r="D1501">
        <v>516.25</v>
      </c>
      <c r="E1501" s="19">
        <v>45637</v>
      </c>
      <c r="F1501">
        <v>501.4</v>
      </c>
      <c r="G1501" s="19">
        <v>45660</v>
      </c>
      <c r="H1501">
        <v>-2.876513317191288</v>
      </c>
    </row>
    <row r="1502" spans="1:8" x14ac:dyDescent="0.25">
      <c r="A1502" t="s">
        <v>213</v>
      </c>
      <c r="B1502" t="s">
        <v>383</v>
      </c>
      <c r="C1502">
        <v>82</v>
      </c>
      <c r="D1502">
        <v>492.55</v>
      </c>
      <c r="E1502" s="19">
        <v>45516</v>
      </c>
      <c r="F1502">
        <v>482.5</v>
      </c>
      <c r="G1502" s="19">
        <v>45635</v>
      </c>
      <c r="H1502">
        <v>2.0404019896457228</v>
      </c>
    </row>
    <row r="1503" spans="1:8" x14ac:dyDescent="0.25">
      <c r="A1503" t="s">
        <v>213</v>
      </c>
      <c r="B1503" t="s">
        <v>385</v>
      </c>
      <c r="C1503">
        <v>39</v>
      </c>
      <c r="D1503">
        <v>512.4</v>
      </c>
      <c r="E1503" s="19">
        <v>45456</v>
      </c>
      <c r="F1503">
        <v>489.85</v>
      </c>
      <c r="G1503" s="19">
        <v>45512</v>
      </c>
      <c r="H1503">
        <v>-4.4008587041373826</v>
      </c>
    </row>
    <row r="1504" spans="1:8" x14ac:dyDescent="0.25">
      <c r="A1504" t="s">
        <v>213</v>
      </c>
      <c r="B1504" t="s">
        <v>383</v>
      </c>
      <c r="C1504">
        <v>24</v>
      </c>
      <c r="D1504">
        <v>466.75</v>
      </c>
      <c r="E1504" s="19">
        <v>45421</v>
      </c>
      <c r="F1504">
        <v>506.1</v>
      </c>
      <c r="G1504" s="19">
        <v>45454</v>
      </c>
      <c r="H1504">
        <v>-8.4306373861810453</v>
      </c>
    </row>
    <row r="1505" spans="1:8" x14ac:dyDescent="0.25">
      <c r="A1505" t="s">
        <v>213</v>
      </c>
      <c r="B1505" t="s">
        <v>385</v>
      </c>
      <c r="C1505">
        <v>21</v>
      </c>
      <c r="D1505">
        <v>541.9</v>
      </c>
      <c r="E1505" s="19">
        <v>45386</v>
      </c>
      <c r="F1505">
        <v>473.2</v>
      </c>
      <c r="G1505" s="19">
        <v>45419</v>
      </c>
      <c r="H1505">
        <v>-12.67761579627237</v>
      </c>
    </row>
    <row r="1506" spans="1:8" x14ac:dyDescent="0.25">
      <c r="A1506" t="s">
        <v>213</v>
      </c>
      <c r="B1506" t="s">
        <v>383</v>
      </c>
      <c r="C1506">
        <v>10</v>
      </c>
      <c r="D1506">
        <v>439.75</v>
      </c>
      <c r="E1506" s="19">
        <v>45369</v>
      </c>
      <c r="F1506">
        <v>534.79999999999995</v>
      </c>
      <c r="G1506" s="19">
        <v>45384</v>
      </c>
      <c r="H1506">
        <v>-21.614553723706639</v>
      </c>
    </row>
    <row r="1507" spans="1:8" x14ac:dyDescent="0.25">
      <c r="A1507" t="s">
        <v>213</v>
      </c>
      <c r="B1507" t="s">
        <v>385</v>
      </c>
      <c r="C1507">
        <v>80</v>
      </c>
      <c r="D1507">
        <v>463.9</v>
      </c>
      <c r="E1507" s="19">
        <v>45251</v>
      </c>
      <c r="F1507">
        <v>450.5</v>
      </c>
      <c r="G1507" s="19">
        <v>45365</v>
      </c>
      <c r="H1507">
        <v>-2.8885535675792151</v>
      </c>
    </row>
    <row r="1508" spans="1:8" x14ac:dyDescent="0.25">
      <c r="A1508" t="s">
        <v>213</v>
      </c>
      <c r="B1508" t="s">
        <v>383</v>
      </c>
      <c r="C1508">
        <v>9</v>
      </c>
      <c r="D1508">
        <v>411.9</v>
      </c>
      <c r="E1508" s="19">
        <v>45237</v>
      </c>
      <c r="F1508">
        <v>412.35</v>
      </c>
      <c r="G1508" s="19">
        <v>45247</v>
      </c>
      <c r="H1508">
        <v>-0.1092498179169812</v>
      </c>
    </row>
    <row r="1509" spans="1:8" x14ac:dyDescent="0.25">
      <c r="A1509" t="s">
        <v>213</v>
      </c>
      <c r="B1509" t="s">
        <v>385</v>
      </c>
      <c r="C1509">
        <v>92</v>
      </c>
      <c r="D1509">
        <v>353.35</v>
      </c>
      <c r="E1509" s="19">
        <v>45099</v>
      </c>
      <c r="F1509">
        <v>410.45</v>
      </c>
      <c r="G1509" s="19">
        <v>45233</v>
      </c>
      <c r="H1509">
        <v>16.159615112494681</v>
      </c>
    </row>
    <row r="1510" spans="1:8" x14ac:dyDescent="0.25">
      <c r="A1510" t="s">
        <v>213</v>
      </c>
      <c r="B1510" t="s">
        <v>383</v>
      </c>
      <c r="C1510">
        <v>26</v>
      </c>
      <c r="D1510">
        <v>331.25</v>
      </c>
      <c r="E1510" s="19">
        <v>45062</v>
      </c>
      <c r="F1510">
        <v>347.1</v>
      </c>
      <c r="G1510" s="19">
        <v>45097</v>
      </c>
      <c r="H1510">
        <v>-4.7849056603773654</v>
      </c>
    </row>
    <row r="1511" spans="1:8" x14ac:dyDescent="0.25">
      <c r="A1511" t="s">
        <v>214</v>
      </c>
      <c r="B1511" t="s">
        <v>385</v>
      </c>
      <c r="C1511">
        <v>25</v>
      </c>
      <c r="D1511">
        <v>130.59</v>
      </c>
      <c r="E1511" s="19">
        <v>45625</v>
      </c>
      <c r="F1511">
        <v>159.02000000000001</v>
      </c>
      <c r="G1511" s="19">
        <v>45660</v>
      </c>
      <c r="H1511">
        <v>21.770426525767679</v>
      </c>
    </row>
    <row r="1512" spans="1:8" x14ac:dyDescent="0.25">
      <c r="A1512" t="s">
        <v>214</v>
      </c>
      <c r="B1512" t="s">
        <v>383</v>
      </c>
      <c r="C1512">
        <v>76</v>
      </c>
      <c r="D1512">
        <v>126.24</v>
      </c>
      <c r="E1512" s="19">
        <v>45512</v>
      </c>
      <c r="F1512">
        <v>131.05000000000001</v>
      </c>
      <c r="G1512" s="19">
        <v>45623</v>
      </c>
      <c r="H1512">
        <v>-3.8102027883396841</v>
      </c>
    </row>
    <row r="1513" spans="1:8" x14ac:dyDescent="0.25">
      <c r="A1513" t="s">
        <v>214</v>
      </c>
      <c r="B1513" t="s">
        <v>385</v>
      </c>
      <c r="C1513">
        <v>83</v>
      </c>
      <c r="D1513">
        <v>141.5</v>
      </c>
      <c r="E1513" s="19">
        <v>45387</v>
      </c>
      <c r="F1513">
        <v>138.25</v>
      </c>
      <c r="G1513" s="19">
        <v>45510</v>
      </c>
      <c r="H1513">
        <v>-2.2968197879858661</v>
      </c>
    </row>
    <row r="1514" spans="1:8" x14ac:dyDescent="0.25">
      <c r="A1514" t="s">
        <v>214</v>
      </c>
      <c r="B1514" t="s">
        <v>383</v>
      </c>
      <c r="C1514">
        <v>7</v>
      </c>
      <c r="D1514">
        <v>132.6</v>
      </c>
      <c r="E1514" s="19">
        <v>45373</v>
      </c>
      <c r="F1514">
        <v>142.85</v>
      </c>
      <c r="G1514" s="19">
        <v>45385</v>
      </c>
      <c r="H1514">
        <v>-7.7300150829562586</v>
      </c>
    </row>
    <row r="1515" spans="1:8" x14ac:dyDescent="0.25">
      <c r="A1515" t="s">
        <v>214</v>
      </c>
      <c r="B1515" t="s">
        <v>385</v>
      </c>
      <c r="C1515">
        <v>231</v>
      </c>
      <c r="D1515">
        <v>86.75</v>
      </c>
      <c r="E1515" s="19">
        <v>45036</v>
      </c>
      <c r="F1515">
        <v>127.8</v>
      </c>
      <c r="G1515" s="19">
        <v>45371</v>
      </c>
      <c r="H1515">
        <v>47.319884726224778</v>
      </c>
    </row>
    <row r="1516" spans="1:8" x14ac:dyDescent="0.25">
      <c r="A1516" t="s">
        <v>215</v>
      </c>
      <c r="B1516" t="s">
        <v>383</v>
      </c>
      <c r="C1516">
        <v>101</v>
      </c>
      <c r="D1516">
        <v>638.15</v>
      </c>
      <c r="E1516" s="19">
        <v>45513</v>
      </c>
      <c r="F1516">
        <v>609.45000000000005</v>
      </c>
      <c r="G1516" s="19">
        <v>45660</v>
      </c>
      <c r="H1516">
        <v>4.4973752252605079</v>
      </c>
    </row>
    <row r="1517" spans="1:8" x14ac:dyDescent="0.25">
      <c r="A1517" t="s">
        <v>215</v>
      </c>
      <c r="B1517" t="s">
        <v>385</v>
      </c>
      <c r="C1517">
        <v>84</v>
      </c>
      <c r="D1517">
        <v>644.29999999999995</v>
      </c>
      <c r="E1517" s="19">
        <v>45387</v>
      </c>
      <c r="F1517">
        <v>637.15</v>
      </c>
      <c r="G1517" s="19">
        <v>45511</v>
      </c>
      <c r="H1517">
        <v>-1.109731491541204</v>
      </c>
    </row>
    <row r="1518" spans="1:8" x14ac:dyDescent="0.25">
      <c r="A1518" t="s">
        <v>215</v>
      </c>
      <c r="B1518" t="s">
        <v>383</v>
      </c>
      <c r="C1518">
        <v>4</v>
      </c>
      <c r="D1518">
        <v>610.95000000000005</v>
      </c>
      <c r="E1518" s="19">
        <v>45379</v>
      </c>
      <c r="F1518">
        <v>641.4</v>
      </c>
      <c r="G1518" s="19">
        <v>45385</v>
      </c>
      <c r="H1518">
        <v>-4.9840412472378963</v>
      </c>
    </row>
    <row r="1519" spans="1:8" x14ac:dyDescent="0.25">
      <c r="A1519" t="s">
        <v>215</v>
      </c>
      <c r="B1519" t="s">
        <v>385</v>
      </c>
      <c r="C1519">
        <v>221</v>
      </c>
      <c r="D1519">
        <v>372.45</v>
      </c>
      <c r="E1519" s="19">
        <v>45056</v>
      </c>
      <c r="F1519">
        <v>592.75</v>
      </c>
      <c r="G1519" s="19">
        <v>45377</v>
      </c>
      <c r="H1519">
        <v>59.148879044167003</v>
      </c>
    </row>
    <row r="1520" spans="1:8" x14ac:dyDescent="0.25">
      <c r="A1520" t="s">
        <v>216</v>
      </c>
      <c r="B1520" t="s">
        <v>383</v>
      </c>
      <c r="C1520">
        <v>6</v>
      </c>
      <c r="D1520">
        <v>355.2</v>
      </c>
      <c r="E1520" s="19">
        <v>45653</v>
      </c>
      <c r="F1520">
        <v>358.6</v>
      </c>
      <c r="G1520" s="19">
        <v>45660</v>
      </c>
      <c r="H1520">
        <v>-0.95720720720721686</v>
      </c>
    </row>
    <row r="1521" spans="1:8" x14ac:dyDescent="0.25">
      <c r="A1521" t="s">
        <v>216</v>
      </c>
      <c r="B1521" t="s">
        <v>385</v>
      </c>
      <c r="C1521">
        <v>8</v>
      </c>
      <c r="D1521">
        <v>388.65</v>
      </c>
      <c r="E1521" s="19">
        <v>45639</v>
      </c>
      <c r="F1521">
        <v>355.5</v>
      </c>
      <c r="G1521" s="19">
        <v>45650</v>
      </c>
      <c r="H1521">
        <v>-8.5295252798147381</v>
      </c>
    </row>
    <row r="1522" spans="1:8" x14ac:dyDescent="0.25">
      <c r="A1522" t="s">
        <v>216</v>
      </c>
      <c r="B1522" t="s">
        <v>383</v>
      </c>
      <c r="C1522">
        <v>59</v>
      </c>
      <c r="D1522">
        <v>400.45</v>
      </c>
      <c r="E1522" s="19">
        <v>45552</v>
      </c>
      <c r="F1522">
        <v>391.3</v>
      </c>
      <c r="G1522" s="19">
        <v>45637</v>
      </c>
      <c r="H1522">
        <v>2.284929454363835</v>
      </c>
    </row>
    <row r="1523" spans="1:8" x14ac:dyDescent="0.25">
      <c r="A1523" t="s">
        <v>216</v>
      </c>
      <c r="B1523" t="s">
        <v>385</v>
      </c>
      <c r="C1523">
        <v>10</v>
      </c>
      <c r="D1523">
        <v>429.4</v>
      </c>
      <c r="E1523" s="19">
        <v>45537</v>
      </c>
      <c r="F1523">
        <v>411.35</v>
      </c>
      <c r="G1523" s="19">
        <v>45548</v>
      </c>
      <c r="H1523">
        <v>-4.203539823008839</v>
      </c>
    </row>
    <row r="1524" spans="1:8" x14ac:dyDescent="0.25">
      <c r="A1524" t="s">
        <v>216</v>
      </c>
      <c r="B1524" t="s">
        <v>383</v>
      </c>
      <c r="C1524">
        <v>9</v>
      </c>
      <c r="D1524">
        <v>426.5</v>
      </c>
      <c r="E1524" s="19">
        <v>45523</v>
      </c>
      <c r="F1524">
        <v>439.05</v>
      </c>
      <c r="G1524" s="19">
        <v>45533</v>
      </c>
      <c r="H1524">
        <v>-2.9425556858147739</v>
      </c>
    </row>
    <row r="1525" spans="1:8" x14ac:dyDescent="0.25">
      <c r="A1525" t="s">
        <v>216</v>
      </c>
      <c r="B1525" t="s">
        <v>385</v>
      </c>
      <c r="C1525">
        <v>81</v>
      </c>
      <c r="D1525">
        <v>321.39999999999998</v>
      </c>
      <c r="E1525" s="19">
        <v>45401</v>
      </c>
      <c r="F1525">
        <v>382.65</v>
      </c>
      <c r="G1525" s="19">
        <v>45518</v>
      </c>
      <c r="H1525">
        <v>19.057249533291849</v>
      </c>
    </row>
    <row r="1526" spans="1:8" x14ac:dyDescent="0.25">
      <c r="A1526" t="s">
        <v>216</v>
      </c>
      <c r="B1526" t="s">
        <v>383</v>
      </c>
      <c r="C1526">
        <v>112</v>
      </c>
      <c r="D1526">
        <v>300.95</v>
      </c>
      <c r="E1526" s="19">
        <v>45233</v>
      </c>
      <c r="F1526">
        <v>279.60000000000002</v>
      </c>
      <c r="G1526" s="19">
        <v>45398</v>
      </c>
      <c r="H1526">
        <v>7.0942016946336492</v>
      </c>
    </row>
    <row r="1527" spans="1:8" x14ac:dyDescent="0.25">
      <c r="A1527" t="s">
        <v>216</v>
      </c>
      <c r="B1527" t="s">
        <v>385</v>
      </c>
      <c r="C1527">
        <v>73</v>
      </c>
      <c r="D1527">
        <v>276.95</v>
      </c>
      <c r="E1527" s="19">
        <v>45125</v>
      </c>
      <c r="F1527">
        <v>294.05</v>
      </c>
      <c r="G1527" s="19">
        <v>45231</v>
      </c>
      <c r="H1527">
        <v>6.1743997111392028</v>
      </c>
    </row>
    <row r="1528" spans="1:8" x14ac:dyDescent="0.25">
      <c r="A1528" t="s">
        <v>216</v>
      </c>
      <c r="B1528" t="s">
        <v>383</v>
      </c>
      <c r="C1528">
        <v>18</v>
      </c>
      <c r="D1528">
        <v>260.7</v>
      </c>
      <c r="E1528" s="19">
        <v>45097</v>
      </c>
      <c r="F1528">
        <v>271.25</v>
      </c>
      <c r="G1528" s="19">
        <v>45121</v>
      </c>
      <c r="H1528">
        <v>-4.0467970847717716</v>
      </c>
    </row>
    <row r="1529" spans="1:8" x14ac:dyDescent="0.25">
      <c r="A1529" t="s">
        <v>216</v>
      </c>
      <c r="B1529" t="s">
        <v>385</v>
      </c>
      <c r="C1529">
        <v>199</v>
      </c>
      <c r="D1529">
        <v>152.65</v>
      </c>
      <c r="E1529" s="19">
        <v>44802</v>
      </c>
      <c r="F1529">
        <v>258.75</v>
      </c>
      <c r="G1529" s="19">
        <v>45093</v>
      </c>
      <c r="H1529">
        <v>69.505404520144111</v>
      </c>
    </row>
    <row r="1530" spans="1:8" x14ac:dyDescent="0.25">
      <c r="A1530" t="s">
        <v>217</v>
      </c>
      <c r="B1530" t="s">
        <v>385</v>
      </c>
      <c r="C1530">
        <v>21</v>
      </c>
      <c r="D1530">
        <v>922.95</v>
      </c>
      <c r="E1530" s="19">
        <v>45631</v>
      </c>
      <c r="F1530">
        <v>854.55</v>
      </c>
      <c r="G1530" s="19">
        <v>45660</v>
      </c>
      <c r="H1530">
        <v>-7.4110190151145883</v>
      </c>
    </row>
    <row r="1531" spans="1:8" x14ac:dyDescent="0.25">
      <c r="A1531" t="s">
        <v>217</v>
      </c>
      <c r="B1531" t="s">
        <v>383</v>
      </c>
      <c r="C1531">
        <v>36</v>
      </c>
      <c r="D1531">
        <v>683</v>
      </c>
      <c r="E1531" s="19">
        <v>45576</v>
      </c>
      <c r="F1531">
        <v>763.2</v>
      </c>
      <c r="G1531" s="19">
        <v>45629</v>
      </c>
      <c r="H1531">
        <v>-11.74231332357248</v>
      </c>
    </row>
    <row r="1532" spans="1:8" x14ac:dyDescent="0.25">
      <c r="A1532" t="s">
        <v>217</v>
      </c>
      <c r="B1532" t="s">
        <v>385</v>
      </c>
      <c r="C1532">
        <v>79</v>
      </c>
      <c r="D1532">
        <v>609.65</v>
      </c>
      <c r="E1532" s="19">
        <v>45461</v>
      </c>
      <c r="F1532">
        <v>685.45</v>
      </c>
      <c r="G1532" s="19">
        <v>45574</v>
      </c>
      <c r="H1532">
        <v>12.433363405232519</v>
      </c>
    </row>
    <row r="1533" spans="1:8" x14ac:dyDescent="0.25">
      <c r="A1533" t="s">
        <v>217</v>
      </c>
      <c r="B1533" t="s">
        <v>383</v>
      </c>
      <c r="C1533">
        <v>61</v>
      </c>
      <c r="D1533">
        <v>580</v>
      </c>
      <c r="E1533" s="19">
        <v>45365</v>
      </c>
      <c r="F1533">
        <v>620.6</v>
      </c>
      <c r="G1533" s="19">
        <v>45456</v>
      </c>
      <c r="H1533">
        <v>-7.0000000000000044</v>
      </c>
    </row>
    <row r="1534" spans="1:8" x14ac:dyDescent="0.25">
      <c r="A1534" t="s">
        <v>217</v>
      </c>
      <c r="B1534" t="s">
        <v>385</v>
      </c>
      <c r="C1534">
        <v>242</v>
      </c>
      <c r="D1534">
        <v>350.25</v>
      </c>
      <c r="E1534" s="19">
        <v>45007</v>
      </c>
      <c r="F1534">
        <v>604.65</v>
      </c>
      <c r="G1534" s="19">
        <v>45363</v>
      </c>
      <c r="H1534">
        <v>72.63383297644539</v>
      </c>
    </row>
    <row r="1535" spans="1:8" x14ac:dyDescent="0.25">
      <c r="A1535" t="s">
        <v>218</v>
      </c>
      <c r="B1535" t="s">
        <v>385</v>
      </c>
      <c r="C1535">
        <v>7</v>
      </c>
      <c r="D1535">
        <v>2182.1</v>
      </c>
      <c r="E1535" s="19">
        <v>45652</v>
      </c>
      <c r="F1535">
        <v>2368.85</v>
      </c>
      <c r="G1535" s="19">
        <v>45660</v>
      </c>
      <c r="H1535">
        <v>8.5582695568489076</v>
      </c>
    </row>
    <row r="1536" spans="1:8" x14ac:dyDescent="0.25">
      <c r="A1536" t="s">
        <v>218</v>
      </c>
      <c r="B1536" t="s">
        <v>383</v>
      </c>
      <c r="C1536">
        <v>26</v>
      </c>
      <c r="D1536">
        <v>2015.85</v>
      </c>
      <c r="E1536" s="19">
        <v>45610</v>
      </c>
      <c r="F1536">
        <v>2160.3000000000002</v>
      </c>
      <c r="G1536" s="19">
        <v>45649</v>
      </c>
      <c r="H1536">
        <v>-7.16571173450407</v>
      </c>
    </row>
    <row r="1537" spans="1:8" x14ac:dyDescent="0.25">
      <c r="A1537" t="s">
        <v>218</v>
      </c>
      <c r="B1537" t="s">
        <v>385</v>
      </c>
      <c r="C1537">
        <v>90</v>
      </c>
      <c r="D1537">
        <v>1770.2</v>
      </c>
      <c r="E1537" s="19">
        <v>45478</v>
      </c>
      <c r="F1537">
        <v>2090.1</v>
      </c>
      <c r="G1537" s="19">
        <v>45608</v>
      </c>
      <c r="H1537">
        <v>18.07140436108914</v>
      </c>
    </row>
    <row r="1538" spans="1:8" x14ac:dyDescent="0.25">
      <c r="A1538" t="s">
        <v>218</v>
      </c>
      <c r="B1538" t="s">
        <v>383</v>
      </c>
      <c r="C1538">
        <v>11</v>
      </c>
      <c r="D1538">
        <v>1572.3</v>
      </c>
      <c r="E1538" s="19">
        <v>45462</v>
      </c>
      <c r="F1538">
        <v>1630.6</v>
      </c>
      <c r="G1538" s="19">
        <v>45476</v>
      </c>
      <c r="H1538">
        <v>-3.707943776632955</v>
      </c>
    </row>
    <row r="1539" spans="1:8" x14ac:dyDescent="0.25">
      <c r="A1539" t="s">
        <v>218</v>
      </c>
      <c r="B1539" t="s">
        <v>385</v>
      </c>
      <c r="C1539">
        <v>283</v>
      </c>
      <c r="D1539">
        <v>693.75</v>
      </c>
      <c r="E1539" s="19">
        <v>45043</v>
      </c>
      <c r="F1539">
        <v>1604.1</v>
      </c>
      <c r="G1539" s="19">
        <v>45457</v>
      </c>
      <c r="H1539">
        <v>131.22162162162161</v>
      </c>
    </row>
    <row r="1540" spans="1:8" x14ac:dyDescent="0.25">
      <c r="A1540" t="s">
        <v>219</v>
      </c>
      <c r="B1540" t="s">
        <v>385</v>
      </c>
      <c r="C1540">
        <v>28</v>
      </c>
      <c r="D1540">
        <v>2985.2</v>
      </c>
      <c r="E1540" s="19">
        <v>45622</v>
      </c>
      <c r="F1540">
        <v>3190.55</v>
      </c>
      <c r="G1540" s="19">
        <v>45660</v>
      </c>
      <c r="H1540">
        <v>6.8789360846844563</v>
      </c>
    </row>
    <row r="1541" spans="1:8" x14ac:dyDescent="0.25">
      <c r="A1541" t="s">
        <v>219</v>
      </c>
      <c r="B1541" t="s">
        <v>383</v>
      </c>
      <c r="C1541">
        <v>15</v>
      </c>
      <c r="D1541">
        <v>2728.55</v>
      </c>
      <c r="E1541" s="19">
        <v>45596</v>
      </c>
      <c r="F1541">
        <v>3012.95</v>
      </c>
      <c r="G1541" s="19">
        <v>45618</v>
      </c>
      <c r="H1541">
        <v>-10.42311850616627</v>
      </c>
    </row>
    <row r="1542" spans="1:8" x14ac:dyDescent="0.25">
      <c r="A1542" t="s">
        <v>219</v>
      </c>
      <c r="B1542" t="s">
        <v>385</v>
      </c>
      <c r="C1542">
        <v>26</v>
      </c>
      <c r="D1542">
        <v>3049.8</v>
      </c>
      <c r="E1542" s="19">
        <v>45558</v>
      </c>
      <c r="F1542">
        <v>2746.9</v>
      </c>
      <c r="G1542" s="19">
        <v>45594</v>
      </c>
      <c r="H1542">
        <v>-9.9317988064791152</v>
      </c>
    </row>
    <row r="1543" spans="1:8" x14ac:dyDescent="0.25">
      <c r="A1543" t="s">
        <v>219</v>
      </c>
      <c r="B1543" t="s">
        <v>383</v>
      </c>
      <c r="C1543">
        <v>6</v>
      </c>
      <c r="D1543">
        <v>2740.9</v>
      </c>
      <c r="E1543" s="19">
        <v>45547</v>
      </c>
      <c r="F1543">
        <v>2797.5</v>
      </c>
      <c r="G1543" s="19">
        <v>45554</v>
      </c>
      <c r="H1543">
        <v>-2.065015141012073</v>
      </c>
    </row>
    <row r="1544" spans="1:8" x14ac:dyDescent="0.25">
      <c r="A1544" t="s">
        <v>219</v>
      </c>
      <c r="B1544" t="s">
        <v>385</v>
      </c>
      <c r="C1544">
        <v>198</v>
      </c>
      <c r="D1544">
        <v>1545.85</v>
      </c>
      <c r="E1544" s="19">
        <v>45253</v>
      </c>
      <c r="F1544">
        <v>2690</v>
      </c>
      <c r="G1544" s="19">
        <v>45545</v>
      </c>
      <c r="H1544">
        <v>74.014296341818437</v>
      </c>
    </row>
    <row r="1545" spans="1:8" x14ac:dyDescent="0.25">
      <c r="A1545" t="s">
        <v>219</v>
      </c>
      <c r="B1545" t="s">
        <v>383</v>
      </c>
      <c r="C1545">
        <v>15</v>
      </c>
      <c r="D1545">
        <v>1454.6</v>
      </c>
      <c r="E1545" s="19">
        <v>45231</v>
      </c>
      <c r="F1545">
        <v>1559.75</v>
      </c>
      <c r="G1545" s="19">
        <v>45251</v>
      </c>
      <c r="H1545">
        <v>-7.2287914203217447</v>
      </c>
    </row>
    <row r="1546" spans="1:8" x14ac:dyDescent="0.25">
      <c r="A1546" t="s">
        <v>219</v>
      </c>
      <c r="B1546" t="s">
        <v>385</v>
      </c>
      <c r="C1546">
        <v>116</v>
      </c>
      <c r="D1546">
        <v>1285.6500000000001</v>
      </c>
      <c r="E1546" s="19">
        <v>45061</v>
      </c>
      <c r="F1546">
        <v>1497.8</v>
      </c>
      <c r="G1546" s="19">
        <v>45229</v>
      </c>
      <c r="H1546">
        <v>16.501380624586769</v>
      </c>
    </row>
    <row r="1547" spans="1:8" x14ac:dyDescent="0.25">
      <c r="A1547" t="s">
        <v>220</v>
      </c>
      <c r="B1547" t="s">
        <v>383</v>
      </c>
      <c r="C1547">
        <v>6</v>
      </c>
      <c r="D1547">
        <v>474.5</v>
      </c>
      <c r="E1547" s="19">
        <v>45653</v>
      </c>
      <c r="F1547">
        <v>449.75</v>
      </c>
      <c r="G1547" s="19">
        <v>45660</v>
      </c>
      <c r="H1547">
        <v>5.2160168598524761</v>
      </c>
    </row>
    <row r="1548" spans="1:8" x14ac:dyDescent="0.25">
      <c r="A1548" t="s">
        <v>220</v>
      </c>
      <c r="B1548" t="s">
        <v>385</v>
      </c>
      <c r="C1548">
        <v>7</v>
      </c>
      <c r="D1548">
        <v>561.04999999999995</v>
      </c>
      <c r="E1548" s="19">
        <v>45642</v>
      </c>
      <c r="F1548">
        <v>487.95</v>
      </c>
      <c r="G1548" s="19">
        <v>45650</v>
      </c>
      <c r="H1548">
        <v>-13.02914178771945</v>
      </c>
    </row>
    <row r="1549" spans="1:8" x14ac:dyDescent="0.25">
      <c r="A1549" t="s">
        <v>220</v>
      </c>
      <c r="B1549" t="s">
        <v>383</v>
      </c>
      <c r="C1549">
        <v>87</v>
      </c>
      <c r="D1549">
        <v>545.95000000000005</v>
      </c>
      <c r="E1549" s="19">
        <v>45512</v>
      </c>
      <c r="F1549">
        <v>540.54999999999995</v>
      </c>
      <c r="G1549" s="19">
        <v>45638</v>
      </c>
      <c r="H1549">
        <v>0.98910156607749622</v>
      </c>
    </row>
    <row r="1550" spans="1:8" x14ac:dyDescent="0.25">
      <c r="A1550" t="s">
        <v>220</v>
      </c>
      <c r="B1550" t="s">
        <v>385</v>
      </c>
      <c r="C1550">
        <v>73</v>
      </c>
      <c r="D1550">
        <v>527</v>
      </c>
      <c r="E1550" s="19">
        <v>45405</v>
      </c>
      <c r="F1550">
        <v>551.35</v>
      </c>
      <c r="G1550" s="19">
        <v>45510</v>
      </c>
      <c r="H1550">
        <v>4.6204933586337802</v>
      </c>
    </row>
    <row r="1551" spans="1:8" x14ac:dyDescent="0.25">
      <c r="A1551" t="s">
        <v>220</v>
      </c>
      <c r="B1551" t="s">
        <v>383</v>
      </c>
      <c r="C1551">
        <v>28</v>
      </c>
      <c r="D1551">
        <v>458.53</v>
      </c>
      <c r="E1551" s="19">
        <v>45356</v>
      </c>
      <c r="F1551">
        <v>528.88</v>
      </c>
      <c r="G1551" s="19">
        <v>45401</v>
      </c>
      <c r="H1551">
        <v>-15.342507578566289</v>
      </c>
    </row>
    <row r="1552" spans="1:8" x14ac:dyDescent="0.25">
      <c r="A1552" t="s">
        <v>220</v>
      </c>
      <c r="B1552" t="s">
        <v>385</v>
      </c>
      <c r="C1552">
        <v>7</v>
      </c>
      <c r="D1552">
        <v>482.53</v>
      </c>
      <c r="E1552" s="19">
        <v>45345</v>
      </c>
      <c r="F1552">
        <v>463.28</v>
      </c>
      <c r="G1552" s="19">
        <v>45353</v>
      </c>
      <c r="H1552">
        <v>-3.9893892607713508</v>
      </c>
    </row>
    <row r="1553" spans="1:8" x14ac:dyDescent="0.25">
      <c r="A1553" t="s">
        <v>220</v>
      </c>
      <c r="B1553" t="s">
        <v>383</v>
      </c>
      <c r="C1553">
        <v>12</v>
      </c>
      <c r="D1553">
        <v>456.85</v>
      </c>
      <c r="E1553" s="19">
        <v>45328</v>
      </c>
      <c r="F1553">
        <v>485.85</v>
      </c>
      <c r="G1553" s="19">
        <v>45343</v>
      </c>
      <c r="H1553">
        <v>-6.3478165699901501</v>
      </c>
    </row>
    <row r="1554" spans="1:8" x14ac:dyDescent="0.25">
      <c r="A1554" t="s">
        <v>220</v>
      </c>
      <c r="B1554" t="s">
        <v>385</v>
      </c>
      <c r="C1554">
        <v>32</v>
      </c>
      <c r="D1554">
        <v>507.48</v>
      </c>
      <c r="E1554" s="19">
        <v>45279</v>
      </c>
      <c r="F1554">
        <v>464.8</v>
      </c>
      <c r="G1554" s="19">
        <v>45324</v>
      </c>
      <c r="H1554">
        <v>-8.4101836525577376</v>
      </c>
    </row>
    <row r="1555" spans="1:8" x14ac:dyDescent="0.25">
      <c r="A1555" t="s">
        <v>221</v>
      </c>
      <c r="B1555" t="s">
        <v>385</v>
      </c>
      <c r="C1555">
        <v>26</v>
      </c>
      <c r="D1555">
        <v>641.9</v>
      </c>
      <c r="E1555" s="19">
        <v>45624</v>
      </c>
      <c r="F1555">
        <v>745.7</v>
      </c>
      <c r="G1555" s="19">
        <v>45660</v>
      </c>
      <c r="H1555">
        <v>16.170743106402881</v>
      </c>
    </row>
    <row r="1556" spans="1:8" x14ac:dyDescent="0.25">
      <c r="A1556" t="s">
        <v>221</v>
      </c>
      <c r="B1556" t="s">
        <v>383</v>
      </c>
      <c r="C1556">
        <v>40</v>
      </c>
      <c r="D1556">
        <v>636.9</v>
      </c>
      <c r="E1556" s="19">
        <v>45562</v>
      </c>
      <c r="F1556">
        <v>650.04999999999995</v>
      </c>
      <c r="G1556" s="19">
        <v>45622</v>
      </c>
      <c r="H1556">
        <v>-2.064688334118383</v>
      </c>
    </row>
    <row r="1557" spans="1:8" x14ac:dyDescent="0.25">
      <c r="A1557" t="s">
        <v>221</v>
      </c>
      <c r="B1557" t="s">
        <v>385</v>
      </c>
      <c r="C1557">
        <v>13</v>
      </c>
      <c r="D1557">
        <v>648.1</v>
      </c>
      <c r="E1557" s="19">
        <v>45544</v>
      </c>
      <c r="F1557">
        <v>648.20000000000005</v>
      </c>
      <c r="G1557" s="19">
        <v>45560</v>
      </c>
      <c r="H1557">
        <v>1.542971763617077E-2</v>
      </c>
    </row>
    <row r="1558" spans="1:8" x14ac:dyDescent="0.25">
      <c r="A1558" t="s">
        <v>221</v>
      </c>
      <c r="B1558" t="s">
        <v>383</v>
      </c>
      <c r="C1558">
        <v>119</v>
      </c>
      <c r="D1558">
        <v>807.8</v>
      </c>
      <c r="E1558" s="19">
        <v>45364</v>
      </c>
      <c r="F1558">
        <v>681.5</v>
      </c>
      <c r="G1558" s="19">
        <v>45540</v>
      </c>
      <c r="H1558">
        <v>15.63505818271849</v>
      </c>
    </row>
    <row r="1559" spans="1:8" x14ac:dyDescent="0.25">
      <c r="A1559" t="s">
        <v>221</v>
      </c>
      <c r="B1559" t="s">
        <v>385</v>
      </c>
      <c r="C1559">
        <v>245</v>
      </c>
      <c r="D1559">
        <v>341.2</v>
      </c>
      <c r="E1559" s="19">
        <v>45001</v>
      </c>
      <c r="F1559">
        <v>908.1</v>
      </c>
      <c r="G1559" s="19">
        <v>45362</v>
      </c>
      <c r="H1559">
        <v>166.1488862837046</v>
      </c>
    </row>
    <row r="1560" spans="1:8" x14ac:dyDescent="0.25">
      <c r="A1560" t="s">
        <v>222</v>
      </c>
      <c r="B1560" t="s">
        <v>385</v>
      </c>
      <c r="C1560">
        <v>21</v>
      </c>
      <c r="D1560">
        <v>1131</v>
      </c>
      <c r="E1560" s="19">
        <v>45631</v>
      </c>
      <c r="F1560">
        <v>1160.5999999999999</v>
      </c>
      <c r="G1560" s="19">
        <v>45660</v>
      </c>
      <c r="H1560">
        <v>2.61715296198054</v>
      </c>
    </row>
    <row r="1561" spans="1:8" x14ac:dyDescent="0.25">
      <c r="A1561" t="s">
        <v>222</v>
      </c>
      <c r="B1561" t="s">
        <v>383</v>
      </c>
      <c r="C1561">
        <v>36</v>
      </c>
      <c r="D1561">
        <v>1084.55</v>
      </c>
      <c r="E1561" s="19">
        <v>45576</v>
      </c>
      <c r="F1561">
        <v>1133.45</v>
      </c>
      <c r="G1561" s="19">
        <v>45629</v>
      </c>
      <c r="H1561">
        <v>-4.508782444331759</v>
      </c>
    </row>
    <row r="1562" spans="1:8" x14ac:dyDescent="0.25">
      <c r="A1562" t="s">
        <v>222</v>
      </c>
      <c r="B1562" t="s">
        <v>385</v>
      </c>
      <c r="C1562">
        <v>11</v>
      </c>
      <c r="D1562">
        <v>1204.7</v>
      </c>
      <c r="E1562" s="19">
        <v>45559</v>
      </c>
      <c r="F1562">
        <v>1077.7</v>
      </c>
      <c r="G1562" s="19">
        <v>45574</v>
      </c>
      <c r="H1562">
        <v>-10.54204366232257</v>
      </c>
    </row>
    <row r="1563" spans="1:8" x14ac:dyDescent="0.25">
      <c r="A1563" t="s">
        <v>222</v>
      </c>
      <c r="B1563" t="s">
        <v>383</v>
      </c>
      <c r="C1563">
        <v>42</v>
      </c>
      <c r="D1563">
        <v>1157.75</v>
      </c>
      <c r="E1563" s="19">
        <v>45497</v>
      </c>
      <c r="F1563">
        <v>1201.2</v>
      </c>
      <c r="G1563" s="19">
        <v>45555</v>
      </c>
      <c r="H1563">
        <v>-3.7529691211401461</v>
      </c>
    </row>
    <row r="1564" spans="1:8" x14ac:dyDescent="0.25">
      <c r="A1564" t="s">
        <v>222</v>
      </c>
      <c r="B1564" t="s">
        <v>385</v>
      </c>
      <c r="C1564">
        <v>67</v>
      </c>
      <c r="D1564">
        <v>1151.6500000000001</v>
      </c>
      <c r="E1564" s="19">
        <v>45397</v>
      </c>
      <c r="F1564">
        <v>1165.8</v>
      </c>
      <c r="G1564" s="19">
        <v>45495</v>
      </c>
      <c r="H1564">
        <v>1.2286719055268409</v>
      </c>
    </row>
    <row r="1565" spans="1:8" x14ac:dyDescent="0.25">
      <c r="A1565" t="s">
        <v>222</v>
      </c>
      <c r="B1565" t="s">
        <v>383</v>
      </c>
      <c r="C1565">
        <v>50</v>
      </c>
      <c r="D1565">
        <v>1094.1500000000001</v>
      </c>
      <c r="E1565" s="19">
        <v>45321</v>
      </c>
      <c r="F1565">
        <v>1176.8</v>
      </c>
      <c r="G1565" s="19">
        <v>45392</v>
      </c>
      <c r="H1565">
        <v>-7.5538088927477816</v>
      </c>
    </row>
    <row r="1566" spans="1:8" x14ac:dyDescent="0.25">
      <c r="A1566" t="s">
        <v>222</v>
      </c>
      <c r="B1566" t="s">
        <v>385</v>
      </c>
      <c r="C1566">
        <v>44</v>
      </c>
      <c r="D1566">
        <v>1087.4000000000001</v>
      </c>
      <c r="E1566" s="19">
        <v>45253</v>
      </c>
      <c r="F1566">
        <v>1074.5999999999999</v>
      </c>
      <c r="G1566" s="19">
        <v>45316</v>
      </c>
      <c r="H1566">
        <v>-1.177119735148076</v>
      </c>
    </row>
    <row r="1567" spans="1:8" x14ac:dyDescent="0.25">
      <c r="A1567" t="s">
        <v>222</v>
      </c>
      <c r="B1567" t="s">
        <v>383</v>
      </c>
      <c r="C1567">
        <v>34</v>
      </c>
      <c r="D1567">
        <v>1003.75</v>
      </c>
      <c r="E1567" s="19">
        <v>45203</v>
      </c>
      <c r="F1567">
        <v>1107.75</v>
      </c>
      <c r="G1567" s="19">
        <v>45251</v>
      </c>
      <c r="H1567">
        <v>-10.361145703611459</v>
      </c>
    </row>
    <row r="1568" spans="1:8" x14ac:dyDescent="0.25">
      <c r="A1568" t="s">
        <v>222</v>
      </c>
      <c r="B1568" t="s">
        <v>385</v>
      </c>
      <c r="C1568">
        <v>16</v>
      </c>
      <c r="D1568">
        <v>1133</v>
      </c>
      <c r="E1568" s="19">
        <v>45176</v>
      </c>
      <c r="F1568">
        <v>1036.3</v>
      </c>
      <c r="G1568" s="19">
        <v>45198</v>
      </c>
      <c r="H1568">
        <v>-8.5348631950573743</v>
      </c>
    </row>
    <row r="1569" spans="1:8" x14ac:dyDescent="0.25">
      <c r="A1569" t="s">
        <v>222</v>
      </c>
      <c r="B1569" t="s">
        <v>383</v>
      </c>
      <c r="C1569">
        <v>5</v>
      </c>
      <c r="D1569">
        <v>1011.85</v>
      </c>
      <c r="E1569" s="19">
        <v>45168</v>
      </c>
      <c r="F1569">
        <v>1120</v>
      </c>
      <c r="G1569" s="19">
        <v>45174</v>
      </c>
      <c r="H1569">
        <v>-10.688343133863709</v>
      </c>
    </row>
    <row r="1570" spans="1:8" x14ac:dyDescent="0.25">
      <c r="A1570" t="s">
        <v>222</v>
      </c>
      <c r="B1570" t="s">
        <v>385</v>
      </c>
      <c r="C1570">
        <v>75</v>
      </c>
      <c r="D1570">
        <v>962.15</v>
      </c>
      <c r="E1570" s="19">
        <v>45058</v>
      </c>
      <c r="F1570">
        <v>1005.9</v>
      </c>
      <c r="G1570" s="19">
        <v>45166</v>
      </c>
      <c r="H1570">
        <v>4.5471080392870133</v>
      </c>
    </row>
    <row r="1571" spans="1:8" x14ac:dyDescent="0.25">
      <c r="A1571" t="s">
        <v>223</v>
      </c>
      <c r="B1571" t="s">
        <v>385</v>
      </c>
      <c r="C1571">
        <v>25</v>
      </c>
      <c r="D1571">
        <v>234.2</v>
      </c>
      <c r="E1571" s="19">
        <v>45625</v>
      </c>
      <c r="F1571">
        <v>249.81</v>
      </c>
      <c r="G1571" s="19">
        <v>45660</v>
      </c>
      <c r="H1571">
        <v>6.6652433817250278</v>
      </c>
    </row>
    <row r="1572" spans="1:8" x14ac:dyDescent="0.25">
      <c r="A1572" t="s">
        <v>223</v>
      </c>
      <c r="B1572" t="s">
        <v>383</v>
      </c>
      <c r="C1572">
        <v>78</v>
      </c>
      <c r="D1572">
        <v>178.66</v>
      </c>
      <c r="E1572" s="19">
        <v>45510</v>
      </c>
      <c r="F1572">
        <v>198.45</v>
      </c>
      <c r="G1572" s="19">
        <v>45623</v>
      </c>
      <c r="H1572">
        <v>-11.07690585469607</v>
      </c>
    </row>
    <row r="1573" spans="1:8" x14ac:dyDescent="0.25">
      <c r="A1573" t="s">
        <v>223</v>
      </c>
      <c r="B1573" t="s">
        <v>385</v>
      </c>
      <c r="C1573">
        <v>5</v>
      </c>
      <c r="D1573">
        <v>209.42</v>
      </c>
      <c r="E1573" s="19">
        <v>45502</v>
      </c>
      <c r="F1573">
        <v>195.72</v>
      </c>
      <c r="G1573" s="19">
        <v>45506</v>
      </c>
      <c r="H1573">
        <v>-6.5418775666125448</v>
      </c>
    </row>
    <row r="1574" spans="1:8" x14ac:dyDescent="0.25">
      <c r="A1574" t="s">
        <v>223</v>
      </c>
      <c r="B1574" t="s">
        <v>383</v>
      </c>
      <c r="C1574">
        <v>54</v>
      </c>
      <c r="D1574">
        <v>197.1</v>
      </c>
      <c r="E1574" s="19">
        <v>45421</v>
      </c>
      <c r="F1574">
        <v>204.37</v>
      </c>
      <c r="G1574" s="19">
        <v>45498</v>
      </c>
      <c r="H1574">
        <v>-3.6884830035515019</v>
      </c>
    </row>
    <row r="1575" spans="1:8" x14ac:dyDescent="0.25">
      <c r="A1575" t="s">
        <v>223</v>
      </c>
      <c r="B1575" t="s">
        <v>385</v>
      </c>
      <c r="C1575">
        <v>13</v>
      </c>
      <c r="D1575">
        <v>209.65</v>
      </c>
      <c r="E1575" s="19">
        <v>45400</v>
      </c>
      <c r="F1575">
        <v>204.35</v>
      </c>
      <c r="G1575" s="19">
        <v>45419</v>
      </c>
      <c r="H1575">
        <v>-2.528022895301699</v>
      </c>
    </row>
    <row r="1576" spans="1:8" x14ac:dyDescent="0.25">
      <c r="A1576" t="s">
        <v>223</v>
      </c>
      <c r="B1576" t="s">
        <v>383</v>
      </c>
      <c r="C1576">
        <v>23</v>
      </c>
      <c r="D1576">
        <v>196.1</v>
      </c>
      <c r="E1576" s="19">
        <v>45362</v>
      </c>
      <c r="F1576">
        <v>209.7</v>
      </c>
      <c r="G1576" s="19">
        <v>45397</v>
      </c>
      <c r="H1576">
        <v>-6.9352371239163668</v>
      </c>
    </row>
    <row r="1577" spans="1:8" x14ac:dyDescent="0.25">
      <c r="A1577" t="s">
        <v>223</v>
      </c>
      <c r="B1577" t="s">
        <v>385</v>
      </c>
      <c r="C1577">
        <v>72</v>
      </c>
      <c r="D1577">
        <v>186.75</v>
      </c>
      <c r="E1577" s="19">
        <v>45254</v>
      </c>
      <c r="F1577">
        <v>204.9</v>
      </c>
      <c r="G1577" s="19">
        <v>45357</v>
      </c>
      <c r="H1577">
        <v>9.7188755020080357</v>
      </c>
    </row>
    <row r="1578" spans="1:8" x14ac:dyDescent="0.25">
      <c r="A1578" t="s">
        <v>223</v>
      </c>
      <c r="B1578" t="s">
        <v>383</v>
      </c>
      <c r="C1578">
        <v>4</v>
      </c>
      <c r="D1578">
        <v>144.6</v>
      </c>
      <c r="E1578" s="19">
        <v>45247</v>
      </c>
      <c r="F1578">
        <v>158.75</v>
      </c>
      <c r="G1578" s="19">
        <v>45252</v>
      </c>
      <c r="H1578">
        <v>-9.7856154910096862</v>
      </c>
    </row>
    <row r="1579" spans="1:8" x14ac:dyDescent="0.25">
      <c r="A1579" t="s">
        <v>223</v>
      </c>
      <c r="B1579" t="s">
        <v>385</v>
      </c>
      <c r="C1579">
        <v>143</v>
      </c>
      <c r="D1579">
        <v>82.65</v>
      </c>
      <c r="E1579" s="19">
        <v>45037</v>
      </c>
      <c r="F1579">
        <v>149.1</v>
      </c>
      <c r="G1579" s="19">
        <v>45245</v>
      </c>
      <c r="H1579">
        <v>80.399274047186907</v>
      </c>
    </row>
    <row r="1580" spans="1:8" x14ac:dyDescent="0.25">
      <c r="A1580" t="s">
        <v>224</v>
      </c>
      <c r="B1580" t="s">
        <v>385</v>
      </c>
      <c r="C1580">
        <v>12</v>
      </c>
      <c r="D1580">
        <v>178.77</v>
      </c>
      <c r="E1580" s="19">
        <v>45644</v>
      </c>
      <c r="F1580">
        <v>187.72</v>
      </c>
      <c r="G1580" s="19">
        <v>45660</v>
      </c>
      <c r="H1580">
        <v>5.0064328466744907</v>
      </c>
    </row>
    <row r="1581" spans="1:8" x14ac:dyDescent="0.25">
      <c r="A1581" t="s">
        <v>224</v>
      </c>
      <c r="B1581" t="s">
        <v>383</v>
      </c>
      <c r="C1581">
        <v>52</v>
      </c>
      <c r="D1581">
        <v>197.47</v>
      </c>
      <c r="E1581" s="19">
        <v>45566</v>
      </c>
      <c r="F1581">
        <v>185.03</v>
      </c>
      <c r="G1581" s="19">
        <v>45642</v>
      </c>
      <c r="H1581">
        <v>6.2996910923178193</v>
      </c>
    </row>
    <row r="1582" spans="1:8" x14ac:dyDescent="0.25">
      <c r="A1582" t="s">
        <v>224</v>
      </c>
      <c r="B1582" t="s">
        <v>385</v>
      </c>
      <c r="C1582">
        <v>70</v>
      </c>
      <c r="D1582">
        <v>192.85</v>
      </c>
      <c r="E1582" s="19">
        <v>45463</v>
      </c>
      <c r="F1582">
        <v>202.64</v>
      </c>
      <c r="G1582" s="19">
        <v>45562</v>
      </c>
      <c r="H1582">
        <v>5.0764843142338556</v>
      </c>
    </row>
    <row r="1583" spans="1:8" x14ac:dyDescent="0.25">
      <c r="A1583" t="s">
        <v>224</v>
      </c>
      <c r="B1583" t="s">
        <v>383</v>
      </c>
      <c r="C1583">
        <v>18</v>
      </c>
      <c r="D1583">
        <v>178.55</v>
      </c>
      <c r="E1583" s="19">
        <v>45435</v>
      </c>
      <c r="F1583">
        <v>191.74</v>
      </c>
      <c r="G1583" s="19">
        <v>45461</v>
      </c>
      <c r="H1583">
        <v>-7.387286474376924</v>
      </c>
    </row>
    <row r="1584" spans="1:8" x14ac:dyDescent="0.25">
      <c r="A1584" t="s">
        <v>224</v>
      </c>
      <c r="B1584" t="s">
        <v>385</v>
      </c>
      <c r="C1584">
        <v>31</v>
      </c>
      <c r="D1584">
        <v>193.6</v>
      </c>
      <c r="E1584" s="19">
        <v>45386</v>
      </c>
      <c r="F1584">
        <v>180.05</v>
      </c>
      <c r="G1584" s="19">
        <v>45433</v>
      </c>
      <c r="H1584">
        <v>-6.9989669421487513</v>
      </c>
    </row>
    <row r="1585" spans="1:8" x14ac:dyDescent="0.25">
      <c r="A1585" t="s">
        <v>224</v>
      </c>
      <c r="B1585" t="s">
        <v>383</v>
      </c>
      <c r="C1585">
        <v>11</v>
      </c>
      <c r="D1585">
        <v>165.75</v>
      </c>
      <c r="E1585" s="19">
        <v>45366</v>
      </c>
      <c r="F1585">
        <v>183.85</v>
      </c>
      <c r="G1585" s="19">
        <v>45384</v>
      </c>
      <c r="H1585">
        <v>-10.920060331825031</v>
      </c>
    </row>
    <row r="1586" spans="1:8" x14ac:dyDescent="0.25">
      <c r="A1586" t="s">
        <v>224</v>
      </c>
      <c r="B1586" t="s">
        <v>385</v>
      </c>
      <c r="C1586">
        <v>81</v>
      </c>
      <c r="D1586">
        <v>154.94999999999999</v>
      </c>
      <c r="E1586" s="19">
        <v>45247</v>
      </c>
      <c r="F1586">
        <v>160.30000000000001</v>
      </c>
      <c r="G1586" s="19">
        <v>45364</v>
      </c>
      <c r="H1586">
        <v>3.452726686027765</v>
      </c>
    </row>
    <row r="1587" spans="1:8" x14ac:dyDescent="0.25">
      <c r="A1587" t="s">
        <v>224</v>
      </c>
      <c r="B1587" t="s">
        <v>383</v>
      </c>
      <c r="C1587">
        <v>15</v>
      </c>
      <c r="D1587">
        <v>130.6</v>
      </c>
      <c r="E1587" s="19">
        <v>45225</v>
      </c>
      <c r="F1587">
        <v>150.5</v>
      </c>
      <c r="G1587" s="19">
        <v>45245</v>
      </c>
      <c r="H1587">
        <v>-15.237366003062791</v>
      </c>
    </row>
    <row r="1588" spans="1:8" x14ac:dyDescent="0.25">
      <c r="A1588" t="s">
        <v>224</v>
      </c>
      <c r="B1588" t="s">
        <v>385</v>
      </c>
      <c r="C1588">
        <v>87</v>
      </c>
      <c r="D1588">
        <v>127.3</v>
      </c>
      <c r="E1588" s="19">
        <v>45096</v>
      </c>
      <c r="F1588">
        <v>134.85</v>
      </c>
      <c r="G1588" s="19">
        <v>45222</v>
      </c>
      <c r="H1588">
        <v>5.9308719560094243</v>
      </c>
    </row>
    <row r="1589" spans="1:8" x14ac:dyDescent="0.25">
      <c r="A1589" t="s">
        <v>224</v>
      </c>
      <c r="B1589" t="s">
        <v>383</v>
      </c>
      <c r="C1589">
        <v>24</v>
      </c>
      <c r="D1589">
        <v>110.15</v>
      </c>
      <c r="E1589" s="19">
        <v>45061</v>
      </c>
      <c r="F1589">
        <v>119.65</v>
      </c>
      <c r="G1589" s="19">
        <v>45092</v>
      </c>
      <c r="H1589">
        <v>-8.6246028143440761</v>
      </c>
    </row>
    <row r="1590" spans="1:8" x14ac:dyDescent="0.25">
      <c r="A1590" t="s">
        <v>225</v>
      </c>
      <c r="B1590" t="s">
        <v>385</v>
      </c>
      <c r="C1590">
        <v>13</v>
      </c>
      <c r="D1590">
        <v>606.20000000000005</v>
      </c>
      <c r="E1590" s="19">
        <v>45643</v>
      </c>
      <c r="F1590">
        <v>623.35</v>
      </c>
      <c r="G1590" s="19">
        <v>45660</v>
      </c>
      <c r="H1590">
        <v>2.8290993071593502</v>
      </c>
    </row>
    <row r="1591" spans="1:8" x14ac:dyDescent="0.25">
      <c r="A1591" t="s">
        <v>225</v>
      </c>
      <c r="B1591" t="s">
        <v>383</v>
      </c>
      <c r="C1591">
        <v>34</v>
      </c>
      <c r="D1591">
        <v>569.65</v>
      </c>
      <c r="E1591" s="19">
        <v>45590</v>
      </c>
      <c r="F1591">
        <v>602.9</v>
      </c>
      <c r="G1591" s="19">
        <v>45639</v>
      </c>
      <c r="H1591">
        <v>-5.8369174054243844</v>
      </c>
    </row>
    <row r="1592" spans="1:8" x14ac:dyDescent="0.25">
      <c r="A1592" t="s">
        <v>225</v>
      </c>
      <c r="B1592" t="s">
        <v>385</v>
      </c>
      <c r="C1592">
        <v>89</v>
      </c>
      <c r="D1592">
        <v>605.04999999999995</v>
      </c>
      <c r="E1592" s="19">
        <v>45461</v>
      </c>
      <c r="F1592">
        <v>564.5</v>
      </c>
      <c r="G1592" s="19">
        <v>45588</v>
      </c>
      <c r="H1592">
        <v>-6.7019254607057199</v>
      </c>
    </row>
    <row r="1593" spans="1:8" x14ac:dyDescent="0.25">
      <c r="A1593" t="s">
        <v>225</v>
      </c>
      <c r="B1593" t="s">
        <v>383</v>
      </c>
      <c r="C1593">
        <v>35</v>
      </c>
      <c r="D1593">
        <v>441.6</v>
      </c>
      <c r="E1593" s="19">
        <v>45407</v>
      </c>
      <c r="F1593">
        <v>472.35</v>
      </c>
      <c r="G1593" s="19">
        <v>45456</v>
      </c>
      <c r="H1593">
        <v>-6.9633152173913038</v>
      </c>
    </row>
    <row r="1594" spans="1:8" x14ac:dyDescent="0.25">
      <c r="A1594" t="s">
        <v>225</v>
      </c>
      <c r="B1594" t="s">
        <v>385</v>
      </c>
      <c r="C1594">
        <v>37</v>
      </c>
      <c r="D1594">
        <v>486.6</v>
      </c>
      <c r="E1594" s="19">
        <v>45349</v>
      </c>
      <c r="F1594">
        <v>437.15</v>
      </c>
      <c r="G1594" s="19">
        <v>45405</v>
      </c>
      <c r="H1594">
        <v>-10.16235100698727</v>
      </c>
    </row>
    <row r="1595" spans="1:8" x14ac:dyDescent="0.25">
      <c r="A1595" t="s">
        <v>225</v>
      </c>
      <c r="B1595" t="s">
        <v>383</v>
      </c>
      <c r="C1595">
        <v>43</v>
      </c>
      <c r="D1595">
        <v>418.05</v>
      </c>
      <c r="E1595" s="19">
        <v>45286</v>
      </c>
      <c r="F1595">
        <v>468.75</v>
      </c>
      <c r="G1595" s="19">
        <v>45345</v>
      </c>
      <c r="H1595">
        <v>-12.12773591675637</v>
      </c>
    </row>
    <row r="1596" spans="1:8" x14ac:dyDescent="0.25">
      <c r="A1596" t="s">
        <v>225</v>
      </c>
      <c r="B1596" t="s">
        <v>385</v>
      </c>
      <c r="C1596">
        <v>230</v>
      </c>
      <c r="D1596">
        <v>252.05</v>
      </c>
      <c r="E1596" s="19">
        <v>44943</v>
      </c>
      <c r="F1596">
        <v>418</v>
      </c>
      <c r="G1596" s="19">
        <v>45281</v>
      </c>
      <c r="H1596">
        <v>65.840111089069623</v>
      </c>
    </row>
    <row r="1597" spans="1:8" x14ac:dyDescent="0.25">
      <c r="A1597" t="s">
        <v>226</v>
      </c>
      <c r="B1597" t="s">
        <v>385</v>
      </c>
      <c r="C1597">
        <v>0</v>
      </c>
      <c r="D1597">
        <v>479.75</v>
      </c>
      <c r="E1597" s="19">
        <v>45012</v>
      </c>
      <c r="F1597">
        <v>660.95</v>
      </c>
      <c r="G1597" s="19">
        <v>45660</v>
      </c>
      <c r="H1597">
        <v>37.769671704012516</v>
      </c>
    </row>
    <row r="1598" spans="1:8" x14ac:dyDescent="0.25">
      <c r="A1598" t="s">
        <v>226</v>
      </c>
      <c r="B1598" t="s">
        <v>383</v>
      </c>
      <c r="C1598">
        <v>47</v>
      </c>
      <c r="D1598">
        <v>640.1</v>
      </c>
      <c r="E1598" s="19">
        <v>45590</v>
      </c>
      <c r="F1598">
        <v>653.35</v>
      </c>
      <c r="G1598" s="19">
        <v>45659</v>
      </c>
      <c r="H1598">
        <v>-2.069989064208718</v>
      </c>
    </row>
    <row r="1599" spans="1:8" x14ac:dyDescent="0.25">
      <c r="A1599" t="s">
        <v>226</v>
      </c>
      <c r="B1599" t="s">
        <v>385</v>
      </c>
      <c r="C1599">
        <v>118</v>
      </c>
      <c r="D1599">
        <v>583.5</v>
      </c>
      <c r="E1599" s="19">
        <v>45419</v>
      </c>
      <c r="F1599">
        <v>656.6</v>
      </c>
      <c r="G1599" s="19">
        <v>45588</v>
      </c>
      <c r="H1599">
        <v>12.527849185946881</v>
      </c>
    </row>
    <row r="1600" spans="1:8" x14ac:dyDescent="0.25">
      <c r="A1600" t="s">
        <v>226</v>
      </c>
      <c r="B1600" t="s">
        <v>383</v>
      </c>
      <c r="C1600">
        <v>74</v>
      </c>
      <c r="D1600">
        <v>529.95000000000005</v>
      </c>
      <c r="E1600" s="19">
        <v>45306</v>
      </c>
      <c r="F1600">
        <v>516.9</v>
      </c>
      <c r="G1600" s="19">
        <v>45415</v>
      </c>
      <c r="H1600">
        <v>2.462496461930384</v>
      </c>
    </row>
    <row r="1601" spans="1:8" x14ac:dyDescent="0.25">
      <c r="A1601" t="s">
        <v>226</v>
      </c>
      <c r="B1601" t="s">
        <v>385</v>
      </c>
      <c r="C1601">
        <v>7</v>
      </c>
      <c r="D1601">
        <v>543.54999999999995</v>
      </c>
      <c r="E1601" s="19">
        <v>45294</v>
      </c>
      <c r="F1601">
        <v>530.1</v>
      </c>
      <c r="G1601" s="19">
        <v>45302</v>
      </c>
      <c r="H1601">
        <v>-2.4744733695152119</v>
      </c>
    </row>
    <row r="1602" spans="1:8" x14ac:dyDescent="0.25">
      <c r="A1602" t="s">
        <v>226</v>
      </c>
      <c r="B1602" t="s">
        <v>383</v>
      </c>
      <c r="C1602">
        <v>56</v>
      </c>
      <c r="D1602">
        <v>536.1</v>
      </c>
      <c r="E1602" s="19">
        <v>45210</v>
      </c>
      <c r="F1602">
        <v>542.25</v>
      </c>
      <c r="G1602" s="19">
        <v>45292</v>
      </c>
      <c r="H1602">
        <v>-1.147174034695015</v>
      </c>
    </row>
    <row r="1603" spans="1:8" x14ac:dyDescent="0.25">
      <c r="A1603" t="s">
        <v>226</v>
      </c>
      <c r="B1603" t="s">
        <v>385</v>
      </c>
      <c r="C1603">
        <v>107</v>
      </c>
      <c r="D1603">
        <v>530.70000000000005</v>
      </c>
      <c r="E1603" s="19">
        <v>45054</v>
      </c>
      <c r="F1603">
        <v>538.04999999999995</v>
      </c>
      <c r="G1603" s="19">
        <v>45208</v>
      </c>
      <c r="H1603">
        <v>1.3849632560768621</v>
      </c>
    </row>
    <row r="1604" spans="1:8" x14ac:dyDescent="0.25">
      <c r="A1604" t="s">
        <v>227</v>
      </c>
      <c r="B1604" t="s">
        <v>383</v>
      </c>
      <c r="C1604">
        <v>33</v>
      </c>
      <c r="D1604">
        <v>641.4</v>
      </c>
      <c r="E1604" s="19">
        <v>45614</v>
      </c>
      <c r="F1604">
        <v>665.55</v>
      </c>
      <c r="G1604" s="19">
        <v>45660</v>
      </c>
      <c r="H1604">
        <v>-3.7652011225444308</v>
      </c>
    </row>
    <row r="1605" spans="1:8" x14ac:dyDescent="0.25">
      <c r="A1605" t="s">
        <v>227</v>
      </c>
      <c r="B1605" t="s">
        <v>385</v>
      </c>
      <c r="C1605">
        <v>150</v>
      </c>
      <c r="D1605">
        <v>573.15</v>
      </c>
      <c r="E1605" s="19">
        <v>45391</v>
      </c>
      <c r="F1605">
        <v>652.6</v>
      </c>
      <c r="G1605" s="19">
        <v>45609</v>
      </c>
      <c r="H1605">
        <v>13.861990752857031</v>
      </c>
    </row>
    <row r="1606" spans="1:8" x14ac:dyDescent="0.25">
      <c r="A1606" t="s">
        <v>227</v>
      </c>
      <c r="B1606" t="s">
        <v>383</v>
      </c>
      <c r="C1606">
        <v>49</v>
      </c>
      <c r="D1606">
        <v>537</v>
      </c>
      <c r="E1606" s="19">
        <v>45316</v>
      </c>
      <c r="F1606">
        <v>552.75</v>
      </c>
      <c r="G1606" s="19">
        <v>45387</v>
      </c>
      <c r="H1606">
        <v>-2.932960893854748</v>
      </c>
    </row>
    <row r="1607" spans="1:8" x14ac:dyDescent="0.25">
      <c r="A1607" t="s">
        <v>227</v>
      </c>
      <c r="B1607" t="s">
        <v>385</v>
      </c>
      <c r="C1607">
        <v>11</v>
      </c>
      <c r="D1607">
        <v>579.70000000000005</v>
      </c>
      <c r="E1607" s="19">
        <v>45300</v>
      </c>
      <c r="F1607">
        <v>539.15</v>
      </c>
      <c r="G1607" s="19">
        <v>45314</v>
      </c>
      <c r="H1607">
        <v>-6.9949974124547287</v>
      </c>
    </row>
    <row r="1608" spans="1:8" x14ac:dyDescent="0.25">
      <c r="A1608" t="s">
        <v>227</v>
      </c>
      <c r="B1608" t="s">
        <v>383</v>
      </c>
      <c r="C1608">
        <v>78</v>
      </c>
      <c r="D1608">
        <v>595</v>
      </c>
      <c r="E1608" s="19">
        <v>45182</v>
      </c>
      <c r="F1608">
        <v>570.79999999999995</v>
      </c>
      <c r="G1608" s="19">
        <v>45296</v>
      </c>
      <c r="H1608">
        <v>4.0672268907563103</v>
      </c>
    </row>
    <row r="1609" spans="1:8" x14ac:dyDescent="0.25">
      <c r="A1609" t="s">
        <v>227</v>
      </c>
      <c r="B1609" t="s">
        <v>385</v>
      </c>
      <c r="C1609">
        <v>87</v>
      </c>
      <c r="D1609">
        <v>579.85</v>
      </c>
      <c r="E1609" s="19">
        <v>45056</v>
      </c>
      <c r="F1609">
        <v>626.25</v>
      </c>
      <c r="G1609" s="19">
        <v>45180</v>
      </c>
      <c r="H1609">
        <v>8.0020695007329437</v>
      </c>
    </row>
    <row r="1610" spans="1:8" x14ac:dyDescent="0.25">
      <c r="A1610" t="s">
        <v>228</v>
      </c>
      <c r="B1610" t="s">
        <v>385</v>
      </c>
      <c r="C1610">
        <v>76</v>
      </c>
      <c r="D1610">
        <v>931</v>
      </c>
      <c r="E1610" s="19">
        <v>45551</v>
      </c>
      <c r="F1610">
        <v>1178.3499999999999</v>
      </c>
      <c r="G1610" s="19">
        <v>45660</v>
      </c>
      <c r="H1610">
        <v>26.568206229860351</v>
      </c>
    </row>
    <row r="1611" spans="1:8" x14ac:dyDescent="0.25">
      <c r="A1611" t="s">
        <v>228</v>
      </c>
      <c r="B1611" t="s">
        <v>383</v>
      </c>
      <c r="C1611">
        <v>16</v>
      </c>
      <c r="D1611">
        <v>868.35</v>
      </c>
      <c r="E1611" s="19">
        <v>45526</v>
      </c>
      <c r="F1611">
        <v>913.8</v>
      </c>
      <c r="G1611" s="19">
        <v>45547</v>
      </c>
      <c r="H1611">
        <v>-5.2340646052858792</v>
      </c>
    </row>
    <row r="1612" spans="1:8" x14ac:dyDescent="0.25">
      <c r="A1612" t="s">
        <v>228</v>
      </c>
      <c r="B1612" t="s">
        <v>385</v>
      </c>
      <c r="C1612">
        <v>46</v>
      </c>
      <c r="D1612">
        <v>890.05</v>
      </c>
      <c r="E1612" s="19">
        <v>45456</v>
      </c>
      <c r="F1612">
        <v>877.55</v>
      </c>
      <c r="G1612" s="19">
        <v>45524</v>
      </c>
      <c r="H1612">
        <v>-1.4044154822762771</v>
      </c>
    </row>
    <row r="1613" spans="1:8" x14ac:dyDescent="0.25">
      <c r="A1613" t="s">
        <v>228</v>
      </c>
      <c r="B1613" t="s">
        <v>383</v>
      </c>
      <c r="C1613">
        <v>6</v>
      </c>
      <c r="D1613">
        <v>780.75</v>
      </c>
      <c r="E1613" s="19">
        <v>45447</v>
      </c>
      <c r="F1613">
        <v>802.5</v>
      </c>
      <c r="G1613" s="19">
        <v>45454</v>
      </c>
      <c r="H1613">
        <v>-2.7857829010566761</v>
      </c>
    </row>
    <row r="1614" spans="1:8" x14ac:dyDescent="0.25">
      <c r="A1614" t="s">
        <v>228</v>
      </c>
      <c r="B1614" t="s">
        <v>385</v>
      </c>
      <c r="C1614">
        <v>40</v>
      </c>
      <c r="D1614">
        <v>819.2</v>
      </c>
      <c r="E1614" s="19">
        <v>45385</v>
      </c>
      <c r="F1614">
        <v>751.8</v>
      </c>
      <c r="G1614" s="19">
        <v>45443</v>
      </c>
      <c r="H1614">
        <v>-8.2275390625000107</v>
      </c>
    </row>
    <row r="1615" spans="1:8" x14ac:dyDescent="0.25">
      <c r="A1615" t="s">
        <v>228</v>
      </c>
      <c r="B1615" t="s">
        <v>383</v>
      </c>
      <c r="C1615">
        <v>7</v>
      </c>
      <c r="D1615">
        <v>757.85</v>
      </c>
      <c r="E1615" s="19">
        <v>45371</v>
      </c>
      <c r="F1615">
        <v>817.25</v>
      </c>
      <c r="G1615" s="19">
        <v>45383</v>
      </c>
      <c r="H1615">
        <v>-7.8379626575179762</v>
      </c>
    </row>
    <row r="1616" spans="1:8" x14ac:dyDescent="0.25">
      <c r="A1616" t="s">
        <v>228</v>
      </c>
      <c r="B1616" t="s">
        <v>385</v>
      </c>
      <c r="C1616">
        <v>94</v>
      </c>
      <c r="D1616">
        <v>578.15</v>
      </c>
      <c r="E1616" s="19">
        <v>45233</v>
      </c>
      <c r="F1616">
        <v>730.45</v>
      </c>
      <c r="G1616" s="19">
        <v>45369</v>
      </c>
      <c r="H1616">
        <v>26.34264464239385</v>
      </c>
    </row>
    <row r="1617" spans="1:8" x14ac:dyDescent="0.25">
      <c r="A1617" t="s">
        <v>228</v>
      </c>
      <c r="B1617" t="s">
        <v>383</v>
      </c>
      <c r="C1617">
        <v>4</v>
      </c>
      <c r="D1617">
        <v>563.79999999999995</v>
      </c>
      <c r="E1617" s="19">
        <v>45226</v>
      </c>
      <c r="F1617">
        <v>576.45000000000005</v>
      </c>
      <c r="G1617" s="19">
        <v>45231</v>
      </c>
      <c r="H1617">
        <v>-2.243703440936518</v>
      </c>
    </row>
    <row r="1618" spans="1:8" x14ac:dyDescent="0.25">
      <c r="A1618" t="s">
        <v>228</v>
      </c>
      <c r="B1618" t="s">
        <v>385</v>
      </c>
      <c r="C1618">
        <v>4</v>
      </c>
      <c r="D1618">
        <v>581.5</v>
      </c>
      <c r="E1618" s="19">
        <v>45218</v>
      </c>
      <c r="F1618">
        <v>569.1</v>
      </c>
      <c r="G1618" s="19">
        <v>45224</v>
      </c>
      <c r="H1618">
        <v>-2.1324161650902802</v>
      </c>
    </row>
    <row r="1619" spans="1:8" x14ac:dyDescent="0.25">
      <c r="A1619" t="s">
        <v>228</v>
      </c>
      <c r="B1619" t="s">
        <v>383</v>
      </c>
      <c r="C1619">
        <v>15</v>
      </c>
      <c r="D1619">
        <v>566.04999999999995</v>
      </c>
      <c r="E1619" s="19">
        <v>45195</v>
      </c>
      <c r="F1619">
        <v>573.9</v>
      </c>
      <c r="G1619" s="19">
        <v>45216</v>
      </c>
      <c r="H1619">
        <v>-1.3868032859288091</v>
      </c>
    </row>
    <row r="1620" spans="1:8" x14ac:dyDescent="0.25">
      <c r="A1620" t="s">
        <v>228</v>
      </c>
      <c r="B1620" t="s">
        <v>385</v>
      </c>
      <c r="C1620">
        <v>11</v>
      </c>
      <c r="D1620">
        <v>602.95000000000005</v>
      </c>
      <c r="E1620" s="19">
        <v>45176</v>
      </c>
      <c r="F1620">
        <v>543.25</v>
      </c>
      <c r="G1620" s="19">
        <v>45191</v>
      </c>
      <c r="H1620">
        <v>-9.9013185172899973</v>
      </c>
    </row>
    <row r="1621" spans="1:8" x14ac:dyDescent="0.25">
      <c r="A1621" t="s">
        <v>228</v>
      </c>
      <c r="B1621" t="s">
        <v>383</v>
      </c>
      <c r="C1621">
        <v>16</v>
      </c>
      <c r="D1621">
        <v>522.85</v>
      </c>
      <c r="E1621" s="19">
        <v>45152</v>
      </c>
      <c r="F1621">
        <v>594.45000000000005</v>
      </c>
      <c r="G1621" s="19">
        <v>45174</v>
      </c>
      <c r="H1621">
        <v>-13.69417614994741</v>
      </c>
    </row>
    <row r="1622" spans="1:8" x14ac:dyDescent="0.25">
      <c r="A1622" t="s">
        <v>228</v>
      </c>
      <c r="B1622" t="s">
        <v>385</v>
      </c>
      <c r="C1622">
        <v>102</v>
      </c>
      <c r="D1622">
        <v>468.65</v>
      </c>
      <c r="E1622" s="19">
        <v>44999</v>
      </c>
      <c r="F1622">
        <v>536.29999999999995</v>
      </c>
      <c r="G1622" s="19">
        <v>45148</v>
      </c>
      <c r="H1622">
        <v>14.43507948362317</v>
      </c>
    </row>
    <row r="1623" spans="1:8" x14ac:dyDescent="0.25">
      <c r="A1623" t="s">
        <v>229</v>
      </c>
      <c r="B1623" t="s">
        <v>385</v>
      </c>
      <c r="C1623">
        <v>12</v>
      </c>
      <c r="D1623">
        <v>613.5</v>
      </c>
      <c r="E1623" s="19">
        <v>45644</v>
      </c>
      <c r="F1623">
        <v>609.04999999999995</v>
      </c>
      <c r="G1623" s="19">
        <v>45660</v>
      </c>
      <c r="H1623">
        <v>-0.72534637326814111</v>
      </c>
    </row>
    <row r="1624" spans="1:8" x14ac:dyDescent="0.25">
      <c r="A1624" t="s">
        <v>229</v>
      </c>
      <c r="B1624" t="s">
        <v>383</v>
      </c>
      <c r="C1624">
        <v>20</v>
      </c>
      <c r="D1624">
        <v>578.79999999999995</v>
      </c>
      <c r="E1624" s="19">
        <v>45614</v>
      </c>
      <c r="F1624">
        <v>638.4</v>
      </c>
      <c r="G1624" s="19">
        <v>45642</v>
      </c>
      <c r="H1624">
        <v>-10.297166551485841</v>
      </c>
    </row>
    <row r="1625" spans="1:8" x14ac:dyDescent="0.25">
      <c r="A1625" t="s">
        <v>229</v>
      </c>
      <c r="B1625" t="s">
        <v>385</v>
      </c>
      <c r="C1625">
        <v>3</v>
      </c>
      <c r="D1625">
        <v>607.20000000000005</v>
      </c>
      <c r="E1625" s="19">
        <v>45607</v>
      </c>
      <c r="F1625">
        <v>582.04999999999995</v>
      </c>
      <c r="G1625" s="19">
        <v>45609</v>
      </c>
      <c r="H1625">
        <v>-4.1419631093544282</v>
      </c>
    </row>
    <row r="1626" spans="1:8" x14ac:dyDescent="0.25">
      <c r="A1626" t="s">
        <v>229</v>
      </c>
      <c r="B1626" t="s">
        <v>383</v>
      </c>
      <c r="C1626">
        <v>32</v>
      </c>
      <c r="D1626">
        <v>598.65</v>
      </c>
      <c r="E1626" s="19">
        <v>45559</v>
      </c>
      <c r="F1626">
        <v>633</v>
      </c>
      <c r="G1626" s="19">
        <v>45603</v>
      </c>
      <c r="H1626">
        <v>-5.7379102981708883</v>
      </c>
    </row>
    <row r="1627" spans="1:8" x14ac:dyDescent="0.25">
      <c r="A1627" t="s">
        <v>229</v>
      </c>
      <c r="B1627" t="s">
        <v>385</v>
      </c>
      <c r="C1627">
        <v>98</v>
      </c>
      <c r="D1627">
        <v>521</v>
      </c>
      <c r="E1627" s="19">
        <v>45415</v>
      </c>
      <c r="F1627">
        <v>621.6</v>
      </c>
      <c r="G1627" s="19">
        <v>45555</v>
      </c>
      <c r="H1627">
        <v>19.309021113243769</v>
      </c>
    </row>
    <row r="1628" spans="1:8" x14ac:dyDescent="0.25">
      <c r="A1628" t="s">
        <v>229</v>
      </c>
      <c r="B1628" t="s">
        <v>383</v>
      </c>
      <c r="C1628">
        <v>52</v>
      </c>
      <c r="D1628">
        <v>512.4</v>
      </c>
      <c r="E1628" s="19">
        <v>45335</v>
      </c>
      <c r="F1628">
        <v>526.4</v>
      </c>
      <c r="G1628" s="19">
        <v>45412</v>
      </c>
      <c r="H1628">
        <v>-2.7322404371584699</v>
      </c>
    </row>
    <row r="1629" spans="1:8" x14ac:dyDescent="0.25">
      <c r="A1629" t="s">
        <v>229</v>
      </c>
      <c r="B1629" t="s">
        <v>385</v>
      </c>
      <c r="C1629">
        <v>49</v>
      </c>
      <c r="D1629">
        <v>532.79999999999995</v>
      </c>
      <c r="E1629" s="19">
        <v>45261</v>
      </c>
      <c r="F1629">
        <v>528</v>
      </c>
      <c r="G1629" s="19">
        <v>45331</v>
      </c>
      <c r="H1629">
        <v>-0.90090090090089237</v>
      </c>
    </row>
    <row r="1630" spans="1:8" x14ac:dyDescent="0.25">
      <c r="A1630" t="s">
        <v>229</v>
      </c>
      <c r="B1630" t="s">
        <v>383</v>
      </c>
      <c r="C1630">
        <v>16</v>
      </c>
      <c r="D1630">
        <v>522</v>
      </c>
      <c r="E1630" s="19">
        <v>45237</v>
      </c>
      <c r="F1630">
        <v>534.4</v>
      </c>
      <c r="G1630" s="19">
        <v>45259</v>
      </c>
      <c r="H1630">
        <v>-2.3754789272030612</v>
      </c>
    </row>
    <row r="1631" spans="1:8" x14ac:dyDescent="0.25">
      <c r="A1631" t="s">
        <v>229</v>
      </c>
      <c r="B1631" t="s">
        <v>385</v>
      </c>
      <c r="C1631">
        <v>19</v>
      </c>
      <c r="D1631">
        <v>555.54999999999995</v>
      </c>
      <c r="E1631" s="19">
        <v>45208</v>
      </c>
      <c r="F1631">
        <v>532</v>
      </c>
      <c r="G1631" s="19">
        <v>45233</v>
      </c>
      <c r="H1631">
        <v>-4.2390423904238963</v>
      </c>
    </row>
    <row r="1632" spans="1:8" x14ac:dyDescent="0.25">
      <c r="A1632" t="s">
        <v>229</v>
      </c>
      <c r="B1632" t="s">
        <v>383</v>
      </c>
      <c r="C1632">
        <v>8</v>
      </c>
      <c r="D1632">
        <v>509.1</v>
      </c>
      <c r="E1632" s="19">
        <v>45194</v>
      </c>
      <c r="F1632">
        <v>562.5</v>
      </c>
      <c r="G1632" s="19">
        <v>45204</v>
      </c>
      <c r="H1632">
        <v>-10.489098408956981</v>
      </c>
    </row>
    <row r="1633" spans="1:8" x14ac:dyDescent="0.25">
      <c r="A1633" t="s">
        <v>229</v>
      </c>
      <c r="B1633" t="s">
        <v>385</v>
      </c>
      <c r="C1633">
        <v>67</v>
      </c>
      <c r="D1633">
        <v>508.95</v>
      </c>
      <c r="E1633" s="19">
        <v>45093</v>
      </c>
      <c r="F1633">
        <v>498.3</v>
      </c>
      <c r="G1633" s="19">
        <v>45190</v>
      </c>
      <c r="H1633">
        <v>-2.0925434718538121</v>
      </c>
    </row>
    <row r="1634" spans="1:8" x14ac:dyDescent="0.25">
      <c r="A1634" t="s">
        <v>229</v>
      </c>
      <c r="B1634" t="s">
        <v>383</v>
      </c>
      <c r="C1634">
        <v>3</v>
      </c>
      <c r="D1634">
        <v>478.8</v>
      </c>
      <c r="E1634" s="19">
        <v>45089</v>
      </c>
      <c r="F1634">
        <v>498.4</v>
      </c>
      <c r="G1634" s="19">
        <v>45091</v>
      </c>
      <c r="H1634">
        <v>-4.0935672514619812</v>
      </c>
    </row>
    <row r="1635" spans="1:8" x14ac:dyDescent="0.25">
      <c r="A1635" t="s">
        <v>229</v>
      </c>
      <c r="B1635" t="s">
        <v>385</v>
      </c>
      <c r="C1635">
        <v>36</v>
      </c>
      <c r="D1635">
        <v>487.05</v>
      </c>
      <c r="E1635" s="19">
        <v>45035</v>
      </c>
      <c r="F1635">
        <v>472.25</v>
      </c>
      <c r="G1635" s="19">
        <v>45085</v>
      </c>
      <c r="H1635">
        <v>-3.038702391951547</v>
      </c>
    </row>
    <row r="1636" spans="1:8" x14ac:dyDescent="0.25">
      <c r="A1636" t="s">
        <v>230</v>
      </c>
      <c r="B1636" t="s">
        <v>385</v>
      </c>
      <c r="C1636">
        <v>19</v>
      </c>
      <c r="D1636">
        <v>1279.3499999999999</v>
      </c>
      <c r="E1636" s="19">
        <v>45635</v>
      </c>
      <c r="F1636">
        <v>1268.2</v>
      </c>
      <c r="G1636" s="19">
        <v>45660</v>
      </c>
      <c r="H1636">
        <v>-0.87153632704106487</v>
      </c>
    </row>
    <row r="1637" spans="1:8" x14ac:dyDescent="0.25">
      <c r="A1637" t="s">
        <v>230</v>
      </c>
      <c r="B1637" t="s">
        <v>383</v>
      </c>
      <c r="C1637">
        <v>57</v>
      </c>
      <c r="D1637">
        <v>1264.3499999999999</v>
      </c>
      <c r="E1637" s="19">
        <v>45548</v>
      </c>
      <c r="F1637">
        <v>1241.55</v>
      </c>
      <c r="G1637" s="19">
        <v>45631</v>
      </c>
      <c r="H1637">
        <v>1.8032981373828421</v>
      </c>
    </row>
    <row r="1638" spans="1:8" x14ac:dyDescent="0.25">
      <c r="A1638" t="s">
        <v>230</v>
      </c>
      <c r="B1638" t="s">
        <v>385</v>
      </c>
      <c r="C1638">
        <v>77</v>
      </c>
      <c r="D1638">
        <v>1125.05</v>
      </c>
      <c r="E1638" s="19">
        <v>45435</v>
      </c>
      <c r="F1638">
        <v>1255</v>
      </c>
      <c r="G1638" s="19">
        <v>45546</v>
      </c>
      <c r="H1638">
        <v>11.550597751211059</v>
      </c>
    </row>
    <row r="1639" spans="1:8" x14ac:dyDescent="0.25">
      <c r="A1639" t="s">
        <v>230</v>
      </c>
      <c r="B1639" t="s">
        <v>383</v>
      </c>
      <c r="C1639">
        <v>83</v>
      </c>
      <c r="D1639">
        <v>1215.1500000000001</v>
      </c>
      <c r="E1639" s="19">
        <v>45309</v>
      </c>
      <c r="F1639">
        <v>1148.05</v>
      </c>
      <c r="G1639" s="19">
        <v>45433</v>
      </c>
      <c r="H1639">
        <v>5.5219520223840783</v>
      </c>
    </row>
    <row r="1640" spans="1:8" x14ac:dyDescent="0.25">
      <c r="A1640" t="s">
        <v>230</v>
      </c>
      <c r="B1640" t="s">
        <v>385</v>
      </c>
      <c r="C1640">
        <v>184</v>
      </c>
      <c r="D1640">
        <v>846.3</v>
      </c>
      <c r="E1640" s="19">
        <v>45040</v>
      </c>
      <c r="F1640">
        <v>1254.05</v>
      </c>
      <c r="G1640" s="19">
        <v>45307</v>
      </c>
      <c r="H1640">
        <v>48.180314309346571</v>
      </c>
    </row>
    <row r="1641" spans="1:8" x14ac:dyDescent="0.25">
      <c r="A1641" t="s">
        <v>231</v>
      </c>
      <c r="B1641" t="s">
        <v>383</v>
      </c>
      <c r="C1641">
        <v>8</v>
      </c>
      <c r="D1641">
        <v>2013.6</v>
      </c>
      <c r="E1641" s="19">
        <v>45650</v>
      </c>
      <c r="F1641">
        <v>1997.8</v>
      </c>
      <c r="G1641" s="19">
        <v>45660</v>
      </c>
      <c r="H1641">
        <v>0.78466428287643797</v>
      </c>
    </row>
    <row r="1642" spans="1:8" x14ac:dyDescent="0.25">
      <c r="A1642" t="s">
        <v>231</v>
      </c>
      <c r="B1642" t="s">
        <v>385</v>
      </c>
      <c r="C1642">
        <v>7</v>
      </c>
      <c r="D1642">
        <v>2226.35</v>
      </c>
      <c r="E1642" s="19">
        <v>45638</v>
      </c>
      <c r="F1642">
        <v>2058.0500000000002</v>
      </c>
      <c r="G1642" s="19">
        <v>45646</v>
      </c>
      <c r="H1642">
        <v>-7.5594583061962286</v>
      </c>
    </row>
    <row r="1643" spans="1:8" x14ac:dyDescent="0.25">
      <c r="A1643" t="s">
        <v>231</v>
      </c>
      <c r="B1643" t="s">
        <v>383</v>
      </c>
      <c r="C1643">
        <v>20</v>
      </c>
      <c r="D1643">
        <v>2154.8000000000002</v>
      </c>
      <c r="E1643" s="19">
        <v>45607</v>
      </c>
      <c r="F1643">
        <v>2220.85</v>
      </c>
      <c r="G1643" s="19">
        <v>45636</v>
      </c>
      <c r="H1643">
        <v>-3.065249675143852</v>
      </c>
    </row>
    <row r="1644" spans="1:8" x14ac:dyDescent="0.25">
      <c r="A1644" t="s">
        <v>231</v>
      </c>
      <c r="B1644" t="s">
        <v>385</v>
      </c>
      <c r="C1644">
        <v>151</v>
      </c>
      <c r="D1644">
        <v>1722.45</v>
      </c>
      <c r="E1644" s="19">
        <v>45384</v>
      </c>
      <c r="F1644">
        <v>2111.85</v>
      </c>
      <c r="G1644" s="19">
        <v>45603</v>
      </c>
      <c r="H1644">
        <v>22.607332578594431</v>
      </c>
    </row>
    <row r="1645" spans="1:8" x14ac:dyDescent="0.25">
      <c r="A1645" t="s">
        <v>231</v>
      </c>
      <c r="B1645" t="s">
        <v>383</v>
      </c>
      <c r="C1645">
        <v>8</v>
      </c>
      <c r="D1645">
        <v>1587.9</v>
      </c>
      <c r="E1645" s="19">
        <v>45369</v>
      </c>
      <c r="F1645">
        <v>1723.6</v>
      </c>
      <c r="G1645" s="19">
        <v>45379</v>
      </c>
      <c r="H1645">
        <v>-8.5458782039171108</v>
      </c>
    </row>
    <row r="1646" spans="1:8" x14ac:dyDescent="0.25">
      <c r="A1646" t="s">
        <v>231</v>
      </c>
      <c r="B1646" t="s">
        <v>385</v>
      </c>
      <c r="C1646">
        <v>27</v>
      </c>
      <c r="D1646">
        <v>1759.95</v>
      </c>
      <c r="E1646" s="19">
        <v>45329</v>
      </c>
      <c r="F1646">
        <v>1626.65</v>
      </c>
      <c r="G1646" s="19">
        <v>45365</v>
      </c>
      <c r="H1646">
        <v>-7.5740788090570721</v>
      </c>
    </row>
    <row r="1647" spans="1:8" x14ac:dyDescent="0.25">
      <c r="A1647" t="s">
        <v>231</v>
      </c>
      <c r="B1647" t="s">
        <v>383</v>
      </c>
      <c r="C1647">
        <v>9</v>
      </c>
      <c r="D1647">
        <v>1582.1</v>
      </c>
      <c r="E1647" s="19">
        <v>45314</v>
      </c>
      <c r="F1647">
        <v>1666.8</v>
      </c>
      <c r="G1647" s="19">
        <v>45327</v>
      </c>
      <c r="H1647">
        <v>-5.3536438910309112</v>
      </c>
    </row>
    <row r="1648" spans="1:8" x14ac:dyDescent="0.25">
      <c r="A1648" t="s">
        <v>231</v>
      </c>
      <c r="B1648" t="s">
        <v>385</v>
      </c>
      <c r="C1648">
        <v>89</v>
      </c>
      <c r="D1648">
        <v>1398.35</v>
      </c>
      <c r="E1648" s="19">
        <v>45181</v>
      </c>
      <c r="F1648">
        <v>1603.5</v>
      </c>
      <c r="G1648" s="19">
        <v>45310</v>
      </c>
      <c r="H1648">
        <v>14.670862087460231</v>
      </c>
    </row>
    <row r="1649" spans="1:8" x14ac:dyDescent="0.25">
      <c r="A1649" t="s">
        <v>231</v>
      </c>
      <c r="B1649" t="s">
        <v>383</v>
      </c>
      <c r="C1649">
        <v>15</v>
      </c>
      <c r="D1649">
        <v>1353.8</v>
      </c>
      <c r="E1649" s="19">
        <v>45159</v>
      </c>
      <c r="F1649">
        <v>1420.4</v>
      </c>
      <c r="G1649" s="19">
        <v>45177</v>
      </c>
      <c r="H1649">
        <v>-4.9194858915644959</v>
      </c>
    </row>
    <row r="1650" spans="1:8" x14ac:dyDescent="0.25">
      <c r="A1650" t="s">
        <v>231</v>
      </c>
      <c r="B1650" t="s">
        <v>385</v>
      </c>
      <c r="C1650">
        <v>55</v>
      </c>
      <c r="D1650">
        <v>1301.1500000000001</v>
      </c>
      <c r="E1650" s="19">
        <v>45077</v>
      </c>
      <c r="F1650">
        <v>1351.4</v>
      </c>
      <c r="G1650" s="19">
        <v>45155</v>
      </c>
      <c r="H1650">
        <v>3.8619682588479418</v>
      </c>
    </row>
    <row r="1651" spans="1:8" x14ac:dyDescent="0.25">
      <c r="A1651" t="s">
        <v>231</v>
      </c>
      <c r="B1651" t="s">
        <v>383</v>
      </c>
      <c r="C1651">
        <v>2</v>
      </c>
      <c r="D1651">
        <v>1284.8</v>
      </c>
      <c r="E1651" s="19">
        <v>45072</v>
      </c>
      <c r="F1651">
        <v>1306.05</v>
      </c>
      <c r="G1651" s="19">
        <v>45075</v>
      </c>
      <c r="H1651">
        <v>-1.653953922789539</v>
      </c>
    </row>
    <row r="1652" spans="1:8" x14ac:dyDescent="0.25">
      <c r="A1652" t="s">
        <v>231</v>
      </c>
      <c r="B1652" t="s">
        <v>385</v>
      </c>
      <c r="C1652">
        <v>10</v>
      </c>
      <c r="D1652">
        <v>1317.3</v>
      </c>
      <c r="E1652" s="19">
        <v>45057</v>
      </c>
      <c r="F1652">
        <v>1261.3499999999999</v>
      </c>
      <c r="G1652" s="19">
        <v>45070</v>
      </c>
      <c r="H1652">
        <v>-4.2473240719653873</v>
      </c>
    </row>
    <row r="1653" spans="1:8" x14ac:dyDescent="0.25">
      <c r="A1653" t="s">
        <v>232</v>
      </c>
      <c r="B1653" t="s">
        <v>383</v>
      </c>
      <c r="C1653">
        <v>4</v>
      </c>
      <c r="D1653">
        <v>331.25</v>
      </c>
      <c r="E1653" s="19">
        <v>45657</v>
      </c>
      <c r="F1653">
        <v>349.15</v>
      </c>
      <c r="G1653" s="19">
        <v>45660</v>
      </c>
      <c r="H1653">
        <v>-5.4037735849056538</v>
      </c>
    </row>
    <row r="1654" spans="1:8" x14ac:dyDescent="0.25">
      <c r="A1654" t="s">
        <v>232</v>
      </c>
      <c r="B1654" t="s">
        <v>385</v>
      </c>
      <c r="C1654">
        <v>6</v>
      </c>
      <c r="D1654">
        <v>348.95</v>
      </c>
      <c r="E1654" s="19">
        <v>45645</v>
      </c>
      <c r="F1654">
        <v>328.45</v>
      </c>
      <c r="G1654" s="19">
        <v>45653</v>
      </c>
      <c r="H1654">
        <v>-5.8747671586187131</v>
      </c>
    </row>
    <row r="1655" spans="1:8" x14ac:dyDescent="0.25">
      <c r="A1655" t="s">
        <v>232</v>
      </c>
      <c r="B1655" t="s">
        <v>383</v>
      </c>
      <c r="C1655">
        <v>91</v>
      </c>
      <c r="D1655">
        <v>447.3</v>
      </c>
      <c r="E1655" s="19">
        <v>45511</v>
      </c>
      <c r="F1655">
        <v>364.55</v>
      </c>
      <c r="G1655" s="19">
        <v>45643</v>
      </c>
      <c r="H1655">
        <v>18.49988821819808</v>
      </c>
    </row>
    <row r="1656" spans="1:8" x14ac:dyDescent="0.25">
      <c r="A1656" t="s">
        <v>232</v>
      </c>
      <c r="B1656" t="s">
        <v>385</v>
      </c>
      <c r="C1656">
        <v>80</v>
      </c>
      <c r="D1656">
        <v>334.55</v>
      </c>
      <c r="E1656" s="19">
        <v>45391</v>
      </c>
      <c r="F1656">
        <v>438.75</v>
      </c>
      <c r="G1656" s="19">
        <v>45509</v>
      </c>
      <c r="H1656">
        <v>31.1463159467942</v>
      </c>
    </row>
    <row r="1657" spans="1:8" x14ac:dyDescent="0.25">
      <c r="A1657" t="s">
        <v>232</v>
      </c>
      <c r="B1657" t="s">
        <v>383</v>
      </c>
      <c r="C1657">
        <v>30</v>
      </c>
      <c r="D1657">
        <v>274.5</v>
      </c>
      <c r="E1657" s="19">
        <v>45344</v>
      </c>
      <c r="F1657">
        <v>318.5</v>
      </c>
      <c r="G1657" s="19">
        <v>45387</v>
      </c>
      <c r="H1657">
        <v>-16.029143897996359</v>
      </c>
    </row>
    <row r="1658" spans="1:8" x14ac:dyDescent="0.25">
      <c r="A1658" t="s">
        <v>232</v>
      </c>
      <c r="B1658" t="s">
        <v>385</v>
      </c>
      <c r="C1658">
        <v>201</v>
      </c>
      <c r="D1658">
        <v>159.65</v>
      </c>
      <c r="E1658" s="19">
        <v>45050</v>
      </c>
      <c r="F1658">
        <v>290.85000000000002</v>
      </c>
      <c r="G1658" s="19">
        <v>45342</v>
      </c>
      <c r="H1658">
        <v>82.179768243031631</v>
      </c>
    </row>
    <row r="1659" spans="1:8" x14ac:dyDescent="0.25">
      <c r="A1659" t="s">
        <v>233</v>
      </c>
      <c r="B1659" t="s">
        <v>383</v>
      </c>
      <c r="C1659">
        <v>102</v>
      </c>
      <c r="D1659">
        <v>220.3</v>
      </c>
      <c r="E1659" s="19">
        <v>45512</v>
      </c>
      <c r="F1659">
        <v>210.11</v>
      </c>
      <c r="G1659" s="19">
        <v>45660</v>
      </c>
      <c r="H1659">
        <v>4.6255106672719011</v>
      </c>
    </row>
    <row r="1660" spans="1:8" x14ac:dyDescent="0.25">
      <c r="A1660" t="s">
        <v>233</v>
      </c>
      <c r="B1660" t="s">
        <v>385</v>
      </c>
      <c r="C1660">
        <v>52</v>
      </c>
      <c r="D1660">
        <v>260.85000000000002</v>
      </c>
      <c r="E1660" s="19">
        <v>45435</v>
      </c>
      <c r="F1660">
        <v>230.75</v>
      </c>
      <c r="G1660" s="19">
        <v>45510</v>
      </c>
      <c r="H1660">
        <v>-11.539198773241329</v>
      </c>
    </row>
    <row r="1661" spans="1:8" x14ac:dyDescent="0.25">
      <c r="A1661" t="s">
        <v>233</v>
      </c>
      <c r="B1661" t="s">
        <v>383</v>
      </c>
      <c r="C1661">
        <v>141</v>
      </c>
      <c r="D1661">
        <v>289.14999999999998</v>
      </c>
      <c r="E1661" s="19">
        <v>45225</v>
      </c>
      <c r="F1661">
        <v>240.45</v>
      </c>
      <c r="G1661" s="19">
        <v>45433</v>
      </c>
      <c r="H1661">
        <v>16.842469306588271</v>
      </c>
    </row>
    <row r="1662" spans="1:8" x14ac:dyDescent="0.25">
      <c r="A1662" t="s">
        <v>233</v>
      </c>
      <c r="B1662" t="s">
        <v>385</v>
      </c>
      <c r="C1662">
        <v>52</v>
      </c>
      <c r="D1662">
        <v>333.4</v>
      </c>
      <c r="E1662" s="19">
        <v>45146</v>
      </c>
      <c r="F1662">
        <v>304.45</v>
      </c>
      <c r="G1662" s="19">
        <v>45222</v>
      </c>
      <c r="H1662">
        <v>-8.6832633473305307</v>
      </c>
    </row>
    <row r="1663" spans="1:8" x14ac:dyDescent="0.25">
      <c r="A1663" t="s">
        <v>233</v>
      </c>
      <c r="B1663" t="s">
        <v>383</v>
      </c>
      <c r="C1663">
        <v>22</v>
      </c>
      <c r="D1663">
        <v>236.3</v>
      </c>
      <c r="E1663" s="19">
        <v>45113</v>
      </c>
      <c r="F1663">
        <v>325</v>
      </c>
      <c r="G1663" s="19">
        <v>45142</v>
      </c>
      <c r="H1663">
        <v>-37.537029200169272</v>
      </c>
    </row>
    <row r="1664" spans="1:8" x14ac:dyDescent="0.25">
      <c r="A1664" t="s">
        <v>233</v>
      </c>
      <c r="B1664" t="s">
        <v>385</v>
      </c>
      <c r="C1664">
        <v>171</v>
      </c>
      <c r="D1664">
        <v>94.25</v>
      </c>
      <c r="E1664" s="19">
        <v>44859</v>
      </c>
      <c r="F1664">
        <v>258.75</v>
      </c>
      <c r="G1664" s="19">
        <v>45111</v>
      </c>
      <c r="H1664">
        <v>174.53580901856759</v>
      </c>
    </row>
    <row r="1665" spans="1:8" x14ac:dyDescent="0.25">
      <c r="A1665" t="s">
        <v>234</v>
      </c>
      <c r="B1665" t="s">
        <v>383</v>
      </c>
      <c r="C1665">
        <v>13</v>
      </c>
      <c r="D1665">
        <v>2095.5</v>
      </c>
      <c r="E1665" s="19">
        <v>45643</v>
      </c>
      <c r="F1665">
        <v>2051.3000000000002</v>
      </c>
      <c r="G1665" s="19">
        <v>45660</v>
      </c>
      <c r="H1665">
        <v>2.1092817943211561</v>
      </c>
    </row>
    <row r="1666" spans="1:8" x14ac:dyDescent="0.25">
      <c r="A1666" t="s">
        <v>234</v>
      </c>
      <c r="B1666" t="s">
        <v>385</v>
      </c>
      <c r="C1666">
        <v>6</v>
      </c>
      <c r="D1666">
        <v>2182.15</v>
      </c>
      <c r="E1666" s="19">
        <v>45632</v>
      </c>
      <c r="F1666">
        <v>2060.6999999999998</v>
      </c>
      <c r="G1666" s="19">
        <v>45639</v>
      </c>
      <c r="H1666">
        <v>-5.5656118965240822</v>
      </c>
    </row>
    <row r="1667" spans="1:8" x14ac:dyDescent="0.25">
      <c r="A1667" t="s">
        <v>234</v>
      </c>
      <c r="B1667" t="s">
        <v>383</v>
      </c>
      <c r="C1667">
        <v>43</v>
      </c>
      <c r="D1667">
        <v>2044.7</v>
      </c>
      <c r="E1667" s="19">
        <v>45568</v>
      </c>
      <c r="F1667">
        <v>2175.75</v>
      </c>
      <c r="G1667" s="19">
        <v>45630</v>
      </c>
      <c r="H1667">
        <v>-6.4092531911771884</v>
      </c>
    </row>
    <row r="1668" spans="1:8" x14ac:dyDescent="0.25">
      <c r="A1668" t="s">
        <v>234</v>
      </c>
      <c r="B1668" t="s">
        <v>385</v>
      </c>
      <c r="C1668">
        <v>119</v>
      </c>
      <c r="D1668">
        <v>1621.45</v>
      </c>
      <c r="E1668" s="19">
        <v>45391</v>
      </c>
      <c r="F1668">
        <v>2135</v>
      </c>
      <c r="G1668" s="19">
        <v>45565</v>
      </c>
      <c r="H1668">
        <v>31.67226864843196</v>
      </c>
    </row>
    <row r="1669" spans="1:8" x14ac:dyDescent="0.25">
      <c r="A1669" t="s">
        <v>234</v>
      </c>
      <c r="B1669" t="s">
        <v>383</v>
      </c>
      <c r="C1669">
        <v>50</v>
      </c>
      <c r="D1669">
        <v>1528</v>
      </c>
      <c r="E1669" s="19">
        <v>45315</v>
      </c>
      <c r="F1669">
        <v>1608.3</v>
      </c>
      <c r="G1669" s="19">
        <v>45387</v>
      </c>
      <c r="H1669">
        <v>-5.2552356020942383</v>
      </c>
    </row>
    <row r="1670" spans="1:8" x14ac:dyDescent="0.25">
      <c r="A1670" t="s">
        <v>234</v>
      </c>
      <c r="B1670" t="s">
        <v>385</v>
      </c>
      <c r="C1670">
        <v>165</v>
      </c>
      <c r="D1670">
        <v>1053.05</v>
      </c>
      <c r="E1670" s="19">
        <v>45072</v>
      </c>
      <c r="F1670">
        <v>1705</v>
      </c>
      <c r="G1670" s="19">
        <v>45311</v>
      </c>
      <c r="H1670">
        <v>61.910640520393137</v>
      </c>
    </row>
    <row r="1671" spans="1:8" x14ac:dyDescent="0.25">
      <c r="A1671" t="s">
        <v>234</v>
      </c>
      <c r="B1671" t="s">
        <v>383</v>
      </c>
      <c r="C1671">
        <v>28</v>
      </c>
      <c r="D1671">
        <v>910.55</v>
      </c>
      <c r="E1671" s="19">
        <v>45029</v>
      </c>
      <c r="F1671">
        <v>1001.2</v>
      </c>
      <c r="G1671" s="19">
        <v>45070</v>
      </c>
      <c r="H1671">
        <v>-9.9555213881719951</v>
      </c>
    </row>
    <row r="1672" spans="1:8" x14ac:dyDescent="0.25">
      <c r="A1672" t="s">
        <v>235</v>
      </c>
      <c r="B1672" t="s">
        <v>385</v>
      </c>
      <c r="C1672">
        <v>15</v>
      </c>
      <c r="D1672">
        <v>133235.25</v>
      </c>
      <c r="E1672" s="19">
        <v>45639</v>
      </c>
      <c r="F1672">
        <v>126362.5</v>
      </c>
      <c r="G1672" s="19">
        <v>45660</v>
      </c>
      <c r="H1672">
        <v>-5.1583571164537911</v>
      </c>
    </row>
    <row r="1673" spans="1:8" x14ac:dyDescent="0.25">
      <c r="A1673" t="s">
        <v>235</v>
      </c>
      <c r="B1673" t="s">
        <v>383</v>
      </c>
      <c r="C1673">
        <v>42</v>
      </c>
      <c r="D1673">
        <v>132197.6</v>
      </c>
      <c r="E1673" s="19">
        <v>45576</v>
      </c>
      <c r="F1673">
        <v>132517.4</v>
      </c>
      <c r="G1673" s="19">
        <v>45637</v>
      </c>
      <c r="H1673">
        <v>-0.24191059444346061</v>
      </c>
    </row>
    <row r="1674" spans="1:8" x14ac:dyDescent="0.25">
      <c r="A1674" t="s">
        <v>235</v>
      </c>
      <c r="B1674" t="s">
        <v>385</v>
      </c>
      <c r="C1674">
        <v>59</v>
      </c>
      <c r="D1674">
        <v>133181.6</v>
      </c>
      <c r="E1674" s="19">
        <v>45489</v>
      </c>
      <c r="F1674">
        <v>132583.29999999999</v>
      </c>
      <c r="G1674" s="19">
        <v>45574</v>
      </c>
      <c r="H1674">
        <v>-0.44923623083069841</v>
      </c>
    </row>
    <row r="1675" spans="1:8" x14ac:dyDescent="0.25">
      <c r="A1675" t="s">
        <v>235</v>
      </c>
      <c r="B1675" t="s">
        <v>383</v>
      </c>
      <c r="C1675">
        <v>73</v>
      </c>
      <c r="D1675">
        <v>131809.4</v>
      </c>
      <c r="E1675" s="19">
        <v>45378</v>
      </c>
      <c r="F1675">
        <v>129690.9</v>
      </c>
      <c r="G1675" s="19">
        <v>45485</v>
      </c>
      <c r="H1675">
        <v>1.607245006805281</v>
      </c>
    </row>
    <row r="1676" spans="1:8" x14ac:dyDescent="0.25">
      <c r="A1676" t="s">
        <v>235</v>
      </c>
      <c r="B1676" t="s">
        <v>385</v>
      </c>
      <c r="C1676">
        <v>226</v>
      </c>
      <c r="D1676">
        <v>88596.9</v>
      </c>
      <c r="E1676" s="19">
        <v>45048</v>
      </c>
      <c r="F1676">
        <v>131302.95000000001</v>
      </c>
      <c r="G1676" s="19">
        <v>45373</v>
      </c>
      <c r="H1676">
        <v>48.202645916505013</v>
      </c>
    </row>
    <row r="1677" spans="1:8" x14ac:dyDescent="0.25">
      <c r="A1677" t="s">
        <v>236</v>
      </c>
      <c r="B1677" t="s">
        <v>383</v>
      </c>
      <c r="C1677">
        <v>2</v>
      </c>
      <c r="D1677">
        <v>693.65</v>
      </c>
      <c r="E1677" s="19">
        <v>45659</v>
      </c>
      <c r="F1677">
        <v>686.95</v>
      </c>
      <c r="G1677" s="19">
        <v>45660</v>
      </c>
      <c r="H1677">
        <v>0.96590499531463014</v>
      </c>
    </row>
    <row r="1678" spans="1:8" x14ac:dyDescent="0.25">
      <c r="A1678" t="s">
        <v>236</v>
      </c>
      <c r="B1678" t="s">
        <v>385</v>
      </c>
      <c r="C1678">
        <v>17</v>
      </c>
      <c r="D1678">
        <v>780.8</v>
      </c>
      <c r="E1678" s="19">
        <v>45632</v>
      </c>
      <c r="F1678">
        <v>679</v>
      </c>
      <c r="G1678" s="19">
        <v>45657</v>
      </c>
      <c r="H1678">
        <v>-13.03790983606557</v>
      </c>
    </row>
    <row r="1679" spans="1:8" x14ac:dyDescent="0.25">
      <c r="A1679" t="s">
        <v>236</v>
      </c>
      <c r="B1679" t="s">
        <v>383</v>
      </c>
      <c r="C1679">
        <v>77</v>
      </c>
      <c r="D1679">
        <v>840.05</v>
      </c>
      <c r="E1679" s="19">
        <v>45518</v>
      </c>
      <c r="F1679">
        <v>727.35</v>
      </c>
      <c r="G1679" s="19">
        <v>45630</v>
      </c>
      <c r="H1679">
        <v>13.4158681030891</v>
      </c>
    </row>
    <row r="1680" spans="1:8" x14ac:dyDescent="0.25">
      <c r="A1680" t="s">
        <v>236</v>
      </c>
      <c r="B1680" t="s">
        <v>385</v>
      </c>
      <c r="C1680">
        <v>12</v>
      </c>
      <c r="D1680">
        <v>951.15</v>
      </c>
      <c r="E1680" s="19">
        <v>45499</v>
      </c>
      <c r="F1680">
        <v>853.3</v>
      </c>
      <c r="G1680" s="19">
        <v>45516</v>
      </c>
      <c r="H1680">
        <v>-10.28754665405036</v>
      </c>
    </row>
    <row r="1681" spans="1:8" x14ac:dyDescent="0.25">
      <c r="A1681" t="s">
        <v>236</v>
      </c>
      <c r="B1681" t="s">
        <v>383</v>
      </c>
      <c r="C1681">
        <v>3</v>
      </c>
      <c r="D1681">
        <v>839.55</v>
      </c>
      <c r="E1681" s="19">
        <v>45495</v>
      </c>
      <c r="F1681">
        <v>913.55</v>
      </c>
      <c r="G1681" s="19">
        <v>45497</v>
      </c>
      <c r="H1681">
        <v>-8.8142457268774947</v>
      </c>
    </row>
    <row r="1682" spans="1:8" x14ac:dyDescent="0.25">
      <c r="A1682" t="s">
        <v>236</v>
      </c>
      <c r="B1682" t="s">
        <v>385</v>
      </c>
      <c r="C1682">
        <v>3</v>
      </c>
      <c r="D1682">
        <v>912.9</v>
      </c>
      <c r="E1682" s="19">
        <v>45488</v>
      </c>
      <c r="F1682">
        <v>869.5</v>
      </c>
      <c r="G1682" s="19">
        <v>45491</v>
      </c>
      <c r="H1682">
        <v>-4.7540804031109616</v>
      </c>
    </row>
    <row r="1683" spans="1:8" x14ac:dyDescent="0.25">
      <c r="A1683" t="s">
        <v>236</v>
      </c>
      <c r="B1683" t="s">
        <v>383</v>
      </c>
      <c r="C1683">
        <v>25</v>
      </c>
      <c r="D1683">
        <v>848.15</v>
      </c>
      <c r="E1683" s="19">
        <v>45449</v>
      </c>
      <c r="F1683">
        <v>908.05</v>
      </c>
      <c r="G1683" s="19">
        <v>45484</v>
      </c>
      <c r="H1683">
        <v>-7.0624299946943321</v>
      </c>
    </row>
    <row r="1684" spans="1:8" x14ac:dyDescent="0.25">
      <c r="A1684" t="s">
        <v>236</v>
      </c>
      <c r="B1684" t="s">
        <v>385</v>
      </c>
      <c r="C1684">
        <v>11</v>
      </c>
      <c r="D1684">
        <v>1001.5</v>
      </c>
      <c r="E1684" s="19">
        <v>45433</v>
      </c>
      <c r="F1684">
        <v>755.8</v>
      </c>
      <c r="G1684" s="19">
        <v>45447</v>
      </c>
      <c r="H1684">
        <v>-24.533200199700449</v>
      </c>
    </row>
    <row r="1685" spans="1:8" x14ac:dyDescent="0.25">
      <c r="A1685" t="s">
        <v>236</v>
      </c>
      <c r="B1685" t="s">
        <v>383</v>
      </c>
      <c r="C1685">
        <v>7</v>
      </c>
      <c r="D1685">
        <v>800.65</v>
      </c>
      <c r="E1685" s="19">
        <v>45421</v>
      </c>
      <c r="F1685">
        <v>948.95</v>
      </c>
      <c r="G1685" s="19">
        <v>45429</v>
      </c>
      <c r="H1685">
        <v>-18.52245050896148</v>
      </c>
    </row>
    <row r="1686" spans="1:8" x14ac:dyDescent="0.25">
      <c r="A1686" t="s">
        <v>236</v>
      </c>
      <c r="B1686" t="s">
        <v>385</v>
      </c>
      <c r="C1686">
        <v>17</v>
      </c>
      <c r="D1686">
        <v>907.75</v>
      </c>
      <c r="E1686" s="19">
        <v>45392</v>
      </c>
      <c r="F1686">
        <v>824.15</v>
      </c>
      <c r="G1686" s="19">
        <v>45419</v>
      </c>
      <c r="H1686">
        <v>-9.2095841366014888</v>
      </c>
    </row>
    <row r="1687" spans="1:8" x14ac:dyDescent="0.25">
      <c r="A1687" t="s">
        <v>236</v>
      </c>
      <c r="B1687" t="s">
        <v>383</v>
      </c>
      <c r="C1687">
        <v>6</v>
      </c>
      <c r="D1687">
        <v>899.2</v>
      </c>
      <c r="E1687" s="19">
        <v>45383</v>
      </c>
      <c r="F1687">
        <v>913.1</v>
      </c>
      <c r="G1687" s="19">
        <v>45390</v>
      </c>
      <c r="H1687">
        <v>-1.545818505338076</v>
      </c>
    </row>
    <row r="1688" spans="1:8" x14ac:dyDescent="0.25">
      <c r="A1688" t="s">
        <v>236</v>
      </c>
      <c r="B1688" t="s">
        <v>385</v>
      </c>
      <c r="C1688">
        <v>228</v>
      </c>
      <c r="D1688">
        <v>295.25</v>
      </c>
      <c r="E1688" s="19">
        <v>45048</v>
      </c>
      <c r="F1688">
        <v>835</v>
      </c>
      <c r="G1688" s="19">
        <v>45378</v>
      </c>
      <c r="H1688">
        <v>182.81117696867059</v>
      </c>
    </row>
    <row r="1689" spans="1:8" x14ac:dyDescent="0.25">
      <c r="A1689" t="s">
        <v>237</v>
      </c>
      <c r="B1689" t="s">
        <v>385</v>
      </c>
      <c r="C1689">
        <v>19</v>
      </c>
      <c r="D1689">
        <v>1991.3</v>
      </c>
      <c r="E1689" s="19">
        <v>45635</v>
      </c>
      <c r="F1689">
        <v>2237.25</v>
      </c>
      <c r="G1689" s="19">
        <v>45660</v>
      </c>
      <c r="H1689">
        <v>12.35122784110883</v>
      </c>
    </row>
    <row r="1690" spans="1:8" x14ac:dyDescent="0.25">
      <c r="A1690" t="s">
        <v>237</v>
      </c>
      <c r="B1690" t="s">
        <v>383</v>
      </c>
      <c r="C1690">
        <v>19</v>
      </c>
      <c r="D1690">
        <v>1823.85</v>
      </c>
      <c r="E1690" s="19">
        <v>45603</v>
      </c>
      <c r="F1690">
        <v>1937.55</v>
      </c>
      <c r="G1690" s="19">
        <v>45631</v>
      </c>
      <c r="H1690">
        <v>-6.2340653014228167</v>
      </c>
    </row>
    <row r="1691" spans="1:8" x14ac:dyDescent="0.25">
      <c r="A1691" t="s">
        <v>237</v>
      </c>
      <c r="B1691" t="s">
        <v>385</v>
      </c>
      <c r="C1691">
        <v>152</v>
      </c>
      <c r="D1691">
        <v>1478.2</v>
      </c>
      <c r="E1691" s="19">
        <v>45378</v>
      </c>
      <c r="F1691">
        <v>1913.35</v>
      </c>
      <c r="G1691" s="19">
        <v>45601</v>
      </c>
      <c r="H1691">
        <v>29.437829792991469</v>
      </c>
    </row>
    <row r="1692" spans="1:8" x14ac:dyDescent="0.25">
      <c r="A1692" t="s">
        <v>237</v>
      </c>
      <c r="B1692" t="s">
        <v>383</v>
      </c>
      <c r="C1692">
        <v>36</v>
      </c>
      <c r="D1692">
        <v>1377.45</v>
      </c>
      <c r="E1692" s="19">
        <v>45324</v>
      </c>
      <c r="F1692">
        <v>1424.35</v>
      </c>
      <c r="G1692" s="19">
        <v>45373</v>
      </c>
      <c r="H1692">
        <v>-3.4048422810265251</v>
      </c>
    </row>
    <row r="1693" spans="1:8" x14ac:dyDescent="0.25">
      <c r="A1693" t="s">
        <v>237</v>
      </c>
      <c r="B1693" t="s">
        <v>385</v>
      </c>
      <c r="C1693">
        <v>64</v>
      </c>
      <c r="D1693">
        <v>1298.7</v>
      </c>
      <c r="E1693" s="19">
        <v>45230</v>
      </c>
      <c r="F1693">
        <v>1394.95</v>
      </c>
      <c r="G1693" s="19">
        <v>45322</v>
      </c>
      <c r="H1693">
        <v>7.4112574112574103</v>
      </c>
    </row>
    <row r="1694" spans="1:8" x14ac:dyDescent="0.25">
      <c r="A1694" t="s">
        <v>237</v>
      </c>
      <c r="B1694" t="s">
        <v>383</v>
      </c>
      <c r="C1694">
        <v>18</v>
      </c>
      <c r="D1694">
        <v>1237</v>
      </c>
      <c r="E1694" s="19">
        <v>45202</v>
      </c>
      <c r="F1694">
        <v>1290.6500000000001</v>
      </c>
      <c r="G1694" s="19">
        <v>45226</v>
      </c>
      <c r="H1694">
        <v>-4.3371059013743007</v>
      </c>
    </row>
    <row r="1695" spans="1:8" x14ac:dyDescent="0.25">
      <c r="A1695" t="s">
        <v>237</v>
      </c>
      <c r="B1695" t="s">
        <v>385</v>
      </c>
      <c r="C1695">
        <v>115</v>
      </c>
      <c r="D1695">
        <v>1049</v>
      </c>
      <c r="E1695" s="19">
        <v>45033</v>
      </c>
      <c r="F1695">
        <v>1214.75</v>
      </c>
      <c r="G1695" s="19">
        <v>45197</v>
      </c>
      <c r="H1695">
        <v>15.80076263107722</v>
      </c>
    </row>
    <row r="1696" spans="1:8" x14ac:dyDescent="0.25">
      <c r="A1696" t="s">
        <v>238</v>
      </c>
      <c r="B1696" t="s">
        <v>385</v>
      </c>
      <c r="C1696">
        <v>36</v>
      </c>
      <c r="D1696">
        <v>1282.8499999999999</v>
      </c>
      <c r="E1696" s="19">
        <v>45608</v>
      </c>
      <c r="F1696">
        <v>1310.4000000000001</v>
      </c>
      <c r="G1696" s="19">
        <v>45660</v>
      </c>
      <c r="H1696">
        <v>2.147562068831133</v>
      </c>
    </row>
    <row r="1697" spans="1:8" x14ac:dyDescent="0.25">
      <c r="A1697" t="s">
        <v>238</v>
      </c>
      <c r="B1697" t="s">
        <v>383</v>
      </c>
      <c r="C1697">
        <v>11</v>
      </c>
      <c r="D1697">
        <v>1236.7</v>
      </c>
      <c r="E1697" s="19">
        <v>45590</v>
      </c>
      <c r="F1697">
        <v>1290.95</v>
      </c>
      <c r="G1697" s="19">
        <v>45604</v>
      </c>
      <c r="H1697">
        <v>-4.3866742136330554</v>
      </c>
    </row>
    <row r="1698" spans="1:8" x14ac:dyDescent="0.25">
      <c r="A1698" t="s">
        <v>238</v>
      </c>
      <c r="B1698" t="s">
        <v>385</v>
      </c>
      <c r="C1698">
        <v>2</v>
      </c>
      <c r="D1698">
        <v>1259.75</v>
      </c>
      <c r="E1698" s="19">
        <v>45587</v>
      </c>
      <c r="F1698">
        <v>1235.8499999999999</v>
      </c>
      <c r="G1698" s="19">
        <v>45588</v>
      </c>
      <c r="H1698">
        <v>-1.897201825759087</v>
      </c>
    </row>
    <row r="1699" spans="1:8" x14ac:dyDescent="0.25">
      <c r="A1699" t="s">
        <v>238</v>
      </c>
      <c r="B1699" t="s">
        <v>383</v>
      </c>
      <c r="C1699">
        <v>12</v>
      </c>
      <c r="D1699">
        <v>1231.05</v>
      </c>
      <c r="E1699" s="19">
        <v>45568</v>
      </c>
      <c r="F1699">
        <v>1276.9000000000001</v>
      </c>
      <c r="G1699" s="19">
        <v>45583</v>
      </c>
      <c r="H1699">
        <v>-3.7244628569107778</v>
      </c>
    </row>
    <row r="1700" spans="1:8" x14ac:dyDescent="0.25">
      <c r="A1700" t="s">
        <v>238</v>
      </c>
      <c r="B1700" t="s">
        <v>385</v>
      </c>
      <c r="C1700">
        <v>24</v>
      </c>
      <c r="D1700">
        <v>1274.0999999999999</v>
      </c>
      <c r="E1700" s="19">
        <v>45532</v>
      </c>
      <c r="F1700">
        <v>1248.2</v>
      </c>
      <c r="G1700" s="19">
        <v>45565</v>
      </c>
      <c r="H1700">
        <v>-2.0328074719409668</v>
      </c>
    </row>
    <row r="1701" spans="1:8" x14ac:dyDescent="0.25">
      <c r="A1701" t="s">
        <v>238</v>
      </c>
      <c r="B1701" t="s">
        <v>383</v>
      </c>
      <c r="C1701">
        <v>9</v>
      </c>
      <c r="D1701">
        <v>1199.3499999999999</v>
      </c>
      <c r="E1701" s="19">
        <v>45517</v>
      </c>
      <c r="F1701">
        <v>1280.25</v>
      </c>
      <c r="G1701" s="19">
        <v>45530</v>
      </c>
      <c r="H1701">
        <v>-6.7453203818735226</v>
      </c>
    </row>
    <row r="1702" spans="1:8" x14ac:dyDescent="0.25">
      <c r="A1702" t="s">
        <v>238</v>
      </c>
      <c r="B1702" t="s">
        <v>385</v>
      </c>
      <c r="C1702">
        <v>12</v>
      </c>
      <c r="D1702">
        <v>1242.8</v>
      </c>
      <c r="E1702" s="19">
        <v>45498</v>
      </c>
      <c r="F1702">
        <v>1231.9000000000001</v>
      </c>
      <c r="G1702" s="19">
        <v>45513</v>
      </c>
      <c r="H1702">
        <v>-0.87705181847440161</v>
      </c>
    </row>
    <row r="1703" spans="1:8" x14ac:dyDescent="0.25">
      <c r="A1703" t="s">
        <v>238</v>
      </c>
      <c r="B1703" t="s">
        <v>383</v>
      </c>
      <c r="C1703">
        <v>65</v>
      </c>
      <c r="D1703">
        <v>1242.45</v>
      </c>
      <c r="E1703" s="19">
        <v>45401</v>
      </c>
      <c r="F1703">
        <v>1255.5</v>
      </c>
      <c r="G1703" s="19">
        <v>45496</v>
      </c>
      <c r="H1703">
        <v>-1.0503440782325211</v>
      </c>
    </row>
    <row r="1704" spans="1:8" x14ac:dyDescent="0.25">
      <c r="A1704" t="s">
        <v>238</v>
      </c>
      <c r="B1704" t="s">
        <v>385</v>
      </c>
      <c r="C1704">
        <v>3</v>
      </c>
      <c r="D1704">
        <v>1288.4000000000001</v>
      </c>
      <c r="E1704" s="19">
        <v>45394</v>
      </c>
      <c r="F1704">
        <v>1277.5</v>
      </c>
      <c r="G1704" s="19">
        <v>45398</v>
      </c>
      <c r="H1704">
        <v>-0.84601055572804174</v>
      </c>
    </row>
    <row r="1705" spans="1:8" x14ac:dyDescent="0.25">
      <c r="A1705" t="s">
        <v>238</v>
      </c>
      <c r="B1705" t="s">
        <v>383</v>
      </c>
      <c r="C1705">
        <v>17</v>
      </c>
      <c r="D1705">
        <v>1235.25</v>
      </c>
      <c r="E1705" s="19">
        <v>45365</v>
      </c>
      <c r="F1705">
        <v>1317.7</v>
      </c>
      <c r="G1705" s="19">
        <v>45391</v>
      </c>
      <c r="H1705">
        <v>-6.6747621938878803</v>
      </c>
    </row>
    <row r="1706" spans="1:8" x14ac:dyDescent="0.25">
      <c r="A1706" t="s">
        <v>238</v>
      </c>
      <c r="B1706" t="s">
        <v>385</v>
      </c>
      <c r="C1706">
        <v>83</v>
      </c>
      <c r="D1706">
        <v>1089</v>
      </c>
      <c r="E1706" s="19">
        <v>45243</v>
      </c>
      <c r="F1706">
        <v>1245.3499999999999</v>
      </c>
      <c r="G1706" s="19">
        <v>45363</v>
      </c>
      <c r="H1706">
        <v>14.357208448117531</v>
      </c>
    </row>
    <row r="1707" spans="1:8" x14ac:dyDescent="0.25">
      <c r="A1707" t="s">
        <v>238</v>
      </c>
      <c r="B1707" t="s">
        <v>383</v>
      </c>
      <c r="C1707">
        <v>8</v>
      </c>
      <c r="D1707">
        <v>997.65</v>
      </c>
      <c r="E1707" s="19">
        <v>45231</v>
      </c>
      <c r="F1707">
        <v>1081</v>
      </c>
      <c r="G1707" s="19">
        <v>45240</v>
      </c>
      <c r="H1707">
        <v>-8.3546333884628901</v>
      </c>
    </row>
    <row r="1708" spans="1:8" x14ac:dyDescent="0.25">
      <c r="A1708" t="s">
        <v>238</v>
      </c>
      <c r="B1708" t="s">
        <v>385</v>
      </c>
      <c r="C1708">
        <v>110</v>
      </c>
      <c r="D1708">
        <v>820.45</v>
      </c>
      <c r="E1708" s="19">
        <v>45069</v>
      </c>
      <c r="F1708">
        <v>1012.35</v>
      </c>
      <c r="G1708" s="19">
        <v>45229</v>
      </c>
      <c r="H1708">
        <v>23.389603266500089</v>
      </c>
    </row>
    <row r="1709" spans="1:8" x14ac:dyDescent="0.25">
      <c r="A1709" t="s">
        <v>238</v>
      </c>
      <c r="B1709" t="s">
        <v>383</v>
      </c>
      <c r="C1709">
        <v>2</v>
      </c>
      <c r="D1709">
        <v>767.85</v>
      </c>
      <c r="E1709" s="19">
        <v>45064</v>
      </c>
      <c r="F1709">
        <v>773.15</v>
      </c>
      <c r="G1709" s="19">
        <v>45065</v>
      </c>
      <c r="H1709">
        <v>-0.69023897896724018</v>
      </c>
    </row>
    <row r="1710" spans="1:8" x14ac:dyDescent="0.25">
      <c r="A1710" t="s">
        <v>238</v>
      </c>
      <c r="B1710" t="s">
        <v>385</v>
      </c>
      <c r="C1710">
        <v>50</v>
      </c>
      <c r="D1710">
        <v>749.1</v>
      </c>
      <c r="E1710" s="19">
        <v>44985</v>
      </c>
      <c r="F1710">
        <v>754.75</v>
      </c>
      <c r="G1710" s="19">
        <v>45062</v>
      </c>
      <c r="H1710">
        <v>0.75423841943665426</v>
      </c>
    </row>
    <row r="1711" spans="1:8" x14ac:dyDescent="0.25">
      <c r="A1711" t="s">
        <v>239</v>
      </c>
      <c r="B1711" t="s">
        <v>383</v>
      </c>
      <c r="C1711">
        <v>2</v>
      </c>
      <c r="D1711">
        <v>1386.25</v>
      </c>
      <c r="E1711" s="19">
        <v>45659</v>
      </c>
      <c r="F1711">
        <v>1366.75</v>
      </c>
      <c r="G1711" s="19">
        <v>45660</v>
      </c>
      <c r="H1711">
        <v>1.406672678088368</v>
      </c>
    </row>
    <row r="1712" spans="1:8" x14ac:dyDescent="0.25">
      <c r="A1712" t="s">
        <v>239</v>
      </c>
      <c r="B1712" t="s">
        <v>385</v>
      </c>
      <c r="C1712">
        <v>15</v>
      </c>
      <c r="D1712">
        <v>1492</v>
      </c>
      <c r="E1712" s="19">
        <v>45636</v>
      </c>
      <c r="F1712">
        <v>1387.3</v>
      </c>
      <c r="G1712" s="19">
        <v>45657</v>
      </c>
      <c r="H1712">
        <v>-7.0174262734584474</v>
      </c>
    </row>
    <row r="1713" spans="1:8" x14ac:dyDescent="0.25">
      <c r="A1713" t="s">
        <v>239</v>
      </c>
      <c r="B1713" t="s">
        <v>383</v>
      </c>
      <c r="C1713">
        <v>34</v>
      </c>
      <c r="D1713">
        <v>1398.65</v>
      </c>
      <c r="E1713" s="19">
        <v>45583</v>
      </c>
      <c r="F1713">
        <v>1449.9</v>
      </c>
      <c r="G1713" s="19">
        <v>45632</v>
      </c>
      <c r="H1713">
        <v>-3.6642476673935578</v>
      </c>
    </row>
    <row r="1714" spans="1:8" x14ac:dyDescent="0.25">
      <c r="A1714" t="s">
        <v>239</v>
      </c>
      <c r="B1714" t="s">
        <v>385</v>
      </c>
      <c r="C1714">
        <v>196</v>
      </c>
      <c r="D1714">
        <v>835.45</v>
      </c>
      <c r="E1714" s="19">
        <v>45294</v>
      </c>
      <c r="F1714">
        <v>1398.9</v>
      </c>
      <c r="G1714" s="19">
        <v>45581</v>
      </c>
      <c r="H1714">
        <v>67.442695553294627</v>
      </c>
    </row>
    <row r="1715" spans="1:8" x14ac:dyDescent="0.25">
      <c r="A1715" t="s">
        <v>239</v>
      </c>
      <c r="B1715" t="s">
        <v>383</v>
      </c>
      <c r="C1715">
        <v>45</v>
      </c>
      <c r="D1715">
        <v>805.65</v>
      </c>
      <c r="E1715" s="19">
        <v>45226</v>
      </c>
      <c r="F1715">
        <v>818.35</v>
      </c>
      <c r="G1715" s="19">
        <v>45292</v>
      </c>
      <c r="H1715">
        <v>-1.5763669087072609</v>
      </c>
    </row>
    <row r="1716" spans="1:8" x14ac:dyDescent="0.25">
      <c r="A1716" t="s">
        <v>239</v>
      </c>
      <c r="B1716" t="s">
        <v>385</v>
      </c>
      <c r="C1716">
        <v>139</v>
      </c>
      <c r="D1716">
        <v>580.9</v>
      </c>
      <c r="E1716" s="19">
        <v>45019</v>
      </c>
      <c r="F1716">
        <v>798.15</v>
      </c>
      <c r="G1716" s="19">
        <v>45224</v>
      </c>
      <c r="H1716">
        <v>37.398863831984848</v>
      </c>
    </row>
    <row r="1717" spans="1:8" x14ac:dyDescent="0.25">
      <c r="A1717" t="s">
        <v>240</v>
      </c>
      <c r="B1717" t="s">
        <v>383</v>
      </c>
      <c r="C1717">
        <v>5</v>
      </c>
      <c r="D1717">
        <v>209.66</v>
      </c>
      <c r="E1717" s="19">
        <v>45656</v>
      </c>
      <c r="F1717">
        <v>208</v>
      </c>
      <c r="G1717" s="19">
        <v>45660</v>
      </c>
      <c r="H1717">
        <v>0.79175808451778917</v>
      </c>
    </row>
    <row r="1718" spans="1:8" x14ac:dyDescent="0.25">
      <c r="A1718" t="s">
        <v>240</v>
      </c>
      <c r="B1718" t="s">
        <v>385</v>
      </c>
      <c r="C1718">
        <v>63</v>
      </c>
      <c r="D1718">
        <v>195.2</v>
      </c>
      <c r="E1718" s="19">
        <v>45560</v>
      </c>
      <c r="F1718">
        <v>217.07</v>
      </c>
      <c r="G1718" s="19">
        <v>45652</v>
      </c>
      <c r="H1718">
        <v>11.203893442622951</v>
      </c>
    </row>
    <row r="1719" spans="1:8" x14ac:dyDescent="0.25">
      <c r="A1719" t="s">
        <v>240</v>
      </c>
      <c r="B1719" t="s">
        <v>383</v>
      </c>
      <c r="C1719">
        <v>33</v>
      </c>
      <c r="D1719">
        <v>179.34</v>
      </c>
      <c r="E1719" s="19">
        <v>45511</v>
      </c>
      <c r="F1719">
        <v>180.24</v>
      </c>
      <c r="G1719" s="19">
        <v>45558</v>
      </c>
      <c r="H1719">
        <v>-0.50184008029441596</v>
      </c>
    </row>
    <row r="1720" spans="1:8" x14ac:dyDescent="0.25">
      <c r="A1720" t="s">
        <v>240</v>
      </c>
      <c r="B1720" t="s">
        <v>385</v>
      </c>
      <c r="C1720">
        <v>164</v>
      </c>
      <c r="D1720">
        <v>99.05</v>
      </c>
      <c r="E1720" s="19">
        <v>45267</v>
      </c>
      <c r="F1720">
        <v>172.94</v>
      </c>
      <c r="G1720" s="19">
        <v>45509</v>
      </c>
      <c r="H1720">
        <v>74.598687531549729</v>
      </c>
    </row>
    <row r="1721" spans="1:8" x14ac:dyDescent="0.25">
      <c r="A1721" t="s">
        <v>240</v>
      </c>
      <c r="B1721" t="s">
        <v>383</v>
      </c>
      <c r="C1721">
        <v>25</v>
      </c>
      <c r="D1721">
        <v>92.25</v>
      </c>
      <c r="E1721" s="19">
        <v>45230</v>
      </c>
      <c r="F1721">
        <v>96.25</v>
      </c>
      <c r="G1721" s="19">
        <v>45265</v>
      </c>
      <c r="H1721">
        <v>-4.3360433604336039</v>
      </c>
    </row>
    <row r="1722" spans="1:8" x14ac:dyDescent="0.25">
      <c r="A1722" t="s">
        <v>240</v>
      </c>
      <c r="B1722" t="s">
        <v>385</v>
      </c>
      <c r="C1722">
        <v>131</v>
      </c>
      <c r="D1722">
        <v>83.05</v>
      </c>
      <c r="E1722" s="19">
        <v>45036</v>
      </c>
      <c r="F1722">
        <v>91.2</v>
      </c>
      <c r="G1722" s="19">
        <v>45226</v>
      </c>
      <c r="H1722">
        <v>9.8133654425045229</v>
      </c>
    </row>
    <row r="1723" spans="1:8" x14ac:dyDescent="0.25">
      <c r="A1723" t="s">
        <v>241</v>
      </c>
      <c r="B1723" t="s">
        <v>383</v>
      </c>
      <c r="C1723">
        <v>0</v>
      </c>
      <c r="D1723">
        <v>223.45</v>
      </c>
      <c r="E1723" s="19">
        <v>45012</v>
      </c>
      <c r="F1723">
        <v>972.4</v>
      </c>
      <c r="G1723" s="19">
        <v>45660</v>
      </c>
      <c r="H1723">
        <v>-335.1756545088387</v>
      </c>
    </row>
    <row r="1724" spans="1:8" x14ac:dyDescent="0.25">
      <c r="A1724" t="s">
        <v>241</v>
      </c>
      <c r="B1724" t="s">
        <v>385</v>
      </c>
      <c r="C1724">
        <v>23</v>
      </c>
      <c r="D1724">
        <v>1027.0999999999999</v>
      </c>
      <c r="E1724" s="19">
        <v>45628</v>
      </c>
      <c r="F1724">
        <v>1002.05</v>
      </c>
      <c r="G1724" s="19">
        <v>45659</v>
      </c>
      <c r="H1724">
        <v>-2.4389056567033349</v>
      </c>
    </row>
    <row r="1725" spans="1:8" x14ac:dyDescent="0.25">
      <c r="A1725" t="s">
        <v>241</v>
      </c>
      <c r="B1725" t="s">
        <v>383</v>
      </c>
      <c r="C1725">
        <v>22</v>
      </c>
      <c r="D1725">
        <v>922.15</v>
      </c>
      <c r="E1725" s="19">
        <v>45593</v>
      </c>
      <c r="F1725">
        <v>1101.75</v>
      </c>
      <c r="G1725" s="19">
        <v>45624</v>
      </c>
      <c r="H1725">
        <v>-19.476224041641821</v>
      </c>
    </row>
    <row r="1726" spans="1:8" x14ac:dyDescent="0.25">
      <c r="A1726" t="s">
        <v>241</v>
      </c>
      <c r="B1726" t="s">
        <v>385</v>
      </c>
      <c r="C1726">
        <v>215</v>
      </c>
      <c r="D1726">
        <v>446</v>
      </c>
      <c r="E1726" s="19">
        <v>45274</v>
      </c>
      <c r="F1726">
        <v>910.6</v>
      </c>
      <c r="G1726" s="19">
        <v>45589</v>
      </c>
      <c r="H1726">
        <v>104.170403587444</v>
      </c>
    </row>
    <row r="1727" spans="1:8" x14ac:dyDescent="0.25">
      <c r="A1727" t="s">
        <v>241</v>
      </c>
      <c r="B1727" t="s">
        <v>383</v>
      </c>
      <c r="C1727">
        <v>19</v>
      </c>
      <c r="D1727">
        <v>397.3</v>
      </c>
      <c r="E1727" s="19">
        <v>45245</v>
      </c>
      <c r="F1727">
        <v>436.35</v>
      </c>
      <c r="G1727" s="19">
        <v>45272</v>
      </c>
      <c r="H1727">
        <v>-9.8288447017367258</v>
      </c>
    </row>
    <row r="1728" spans="1:8" x14ac:dyDescent="0.25">
      <c r="A1728" t="s">
        <v>241</v>
      </c>
      <c r="B1728" t="s">
        <v>385</v>
      </c>
      <c r="C1728">
        <v>121</v>
      </c>
      <c r="D1728">
        <v>254.6</v>
      </c>
      <c r="E1728" s="19">
        <v>45068</v>
      </c>
      <c r="F1728">
        <v>401.5</v>
      </c>
      <c r="G1728" s="19">
        <v>45242</v>
      </c>
      <c r="H1728">
        <v>57.698350353495677</v>
      </c>
    </row>
    <row r="1729" spans="1:8" x14ac:dyDescent="0.25">
      <c r="A1729" t="s">
        <v>241</v>
      </c>
      <c r="B1729" t="s">
        <v>383</v>
      </c>
      <c r="C1729">
        <v>33</v>
      </c>
      <c r="D1729">
        <v>217.65</v>
      </c>
      <c r="E1729" s="19">
        <v>45013</v>
      </c>
      <c r="F1729">
        <v>248.85</v>
      </c>
      <c r="G1729" s="19">
        <v>45064</v>
      </c>
      <c r="H1729">
        <v>-14.334941419710541</v>
      </c>
    </row>
    <row r="1730" spans="1:8" x14ac:dyDescent="0.25">
      <c r="A1730" t="s">
        <v>242</v>
      </c>
      <c r="B1730" t="s">
        <v>385</v>
      </c>
      <c r="C1730">
        <v>1</v>
      </c>
      <c r="D1730">
        <v>145.33000000000001</v>
      </c>
      <c r="E1730" s="19">
        <v>45660</v>
      </c>
      <c r="F1730">
        <v>145.33000000000001</v>
      </c>
      <c r="G1730" s="19">
        <v>45660</v>
      </c>
      <c r="H1730">
        <v>0</v>
      </c>
    </row>
    <row r="1731" spans="1:8" x14ac:dyDescent="0.25">
      <c r="A1731" t="s">
        <v>242</v>
      </c>
      <c r="B1731" t="s">
        <v>383</v>
      </c>
      <c r="C1731">
        <v>78</v>
      </c>
      <c r="D1731">
        <v>153.34</v>
      </c>
      <c r="E1731" s="19">
        <v>45545</v>
      </c>
      <c r="F1731">
        <v>146.80000000000001</v>
      </c>
      <c r="G1731" s="19">
        <v>45658</v>
      </c>
      <c r="H1731">
        <v>4.2650319551323808</v>
      </c>
    </row>
    <row r="1732" spans="1:8" x14ac:dyDescent="0.25">
      <c r="A1732" t="s">
        <v>242</v>
      </c>
      <c r="B1732" t="s">
        <v>385</v>
      </c>
      <c r="C1732">
        <v>56</v>
      </c>
      <c r="D1732">
        <v>152.03</v>
      </c>
      <c r="E1732" s="19">
        <v>45462</v>
      </c>
      <c r="F1732">
        <v>153.99</v>
      </c>
      <c r="G1732" s="19">
        <v>45541</v>
      </c>
      <c r="H1732">
        <v>1.289219233046115</v>
      </c>
    </row>
    <row r="1733" spans="1:8" x14ac:dyDescent="0.25">
      <c r="A1733" t="s">
        <v>242</v>
      </c>
      <c r="B1733" t="s">
        <v>383</v>
      </c>
      <c r="C1733">
        <v>6</v>
      </c>
      <c r="D1733">
        <v>148.75</v>
      </c>
      <c r="E1733" s="19">
        <v>45450</v>
      </c>
      <c r="F1733">
        <v>154.41999999999999</v>
      </c>
      <c r="G1733" s="19">
        <v>45457</v>
      </c>
      <c r="H1733">
        <v>-3.8117647058823438</v>
      </c>
    </row>
    <row r="1734" spans="1:8" x14ac:dyDescent="0.25">
      <c r="A1734" t="s">
        <v>242</v>
      </c>
      <c r="B1734" t="s">
        <v>385</v>
      </c>
      <c r="C1734">
        <v>23</v>
      </c>
      <c r="D1734">
        <v>145.25</v>
      </c>
      <c r="E1734" s="19">
        <v>45418</v>
      </c>
      <c r="F1734">
        <v>143.6</v>
      </c>
      <c r="G1734" s="19">
        <v>45448</v>
      </c>
      <c r="H1734">
        <v>-1.1359724612736699</v>
      </c>
    </row>
    <row r="1735" spans="1:8" x14ac:dyDescent="0.25">
      <c r="A1735" t="s">
        <v>242</v>
      </c>
      <c r="B1735" t="s">
        <v>383</v>
      </c>
      <c r="C1735">
        <v>33</v>
      </c>
      <c r="D1735">
        <v>143.30000000000001</v>
      </c>
      <c r="E1735" s="19">
        <v>45363</v>
      </c>
      <c r="F1735">
        <v>145.19999999999999</v>
      </c>
      <c r="G1735" s="19">
        <v>45414</v>
      </c>
      <c r="H1735">
        <v>-1.325889741800403</v>
      </c>
    </row>
    <row r="1736" spans="1:8" x14ac:dyDescent="0.25">
      <c r="A1736" t="s">
        <v>242</v>
      </c>
      <c r="B1736" t="s">
        <v>385</v>
      </c>
      <c r="C1736">
        <v>47</v>
      </c>
      <c r="D1736">
        <v>159.69999999999999</v>
      </c>
      <c r="E1736" s="19">
        <v>45294</v>
      </c>
      <c r="F1736">
        <v>148.55000000000001</v>
      </c>
      <c r="G1736" s="19">
        <v>45358</v>
      </c>
      <c r="H1736">
        <v>-6.9818409517845819</v>
      </c>
    </row>
    <row r="1737" spans="1:8" x14ac:dyDescent="0.25">
      <c r="A1737" t="s">
        <v>242</v>
      </c>
      <c r="B1737" t="s">
        <v>383</v>
      </c>
      <c r="C1737">
        <v>38</v>
      </c>
      <c r="D1737">
        <v>139.94999999999999</v>
      </c>
      <c r="E1737" s="19">
        <v>45237</v>
      </c>
      <c r="F1737">
        <v>153.1</v>
      </c>
      <c r="G1737" s="19">
        <v>45292</v>
      </c>
      <c r="H1737">
        <v>-9.39621293319043</v>
      </c>
    </row>
    <row r="1738" spans="1:8" x14ac:dyDescent="0.25">
      <c r="A1738" t="s">
        <v>242</v>
      </c>
      <c r="B1738" t="s">
        <v>385</v>
      </c>
      <c r="C1738">
        <v>135</v>
      </c>
      <c r="D1738">
        <v>114.2</v>
      </c>
      <c r="E1738" s="19">
        <v>45037</v>
      </c>
      <c r="F1738">
        <v>151.69999999999999</v>
      </c>
      <c r="G1738" s="19">
        <v>45233</v>
      </c>
      <c r="H1738">
        <v>32.837127845884403</v>
      </c>
    </row>
    <row r="1739" spans="1:8" x14ac:dyDescent="0.25">
      <c r="A1739" t="s">
        <v>243</v>
      </c>
      <c r="B1739" t="s">
        <v>383</v>
      </c>
      <c r="C1739">
        <v>8</v>
      </c>
      <c r="D1739">
        <v>283.05</v>
      </c>
      <c r="E1739" s="19">
        <v>45650</v>
      </c>
      <c r="F1739">
        <v>276.95</v>
      </c>
      <c r="G1739" s="19">
        <v>45660</v>
      </c>
      <c r="H1739">
        <v>2.1550962727433389</v>
      </c>
    </row>
    <row r="1740" spans="1:8" x14ac:dyDescent="0.25">
      <c r="A1740" t="s">
        <v>243</v>
      </c>
      <c r="B1740" t="s">
        <v>385</v>
      </c>
      <c r="C1740">
        <v>10</v>
      </c>
      <c r="D1740">
        <v>312.89999999999998</v>
      </c>
      <c r="E1740" s="19">
        <v>45635</v>
      </c>
      <c r="F1740">
        <v>287.55</v>
      </c>
      <c r="G1740" s="19">
        <v>45646</v>
      </c>
      <c r="H1740">
        <v>-8.1016299137104397</v>
      </c>
    </row>
    <row r="1741" spans="1:8" x14ac:dyDescent="0.25">
      <c r="A1741" t="s">
        <v>243</v>
      </c>
      <c r="B1741" t="s">
        <v>383</v>
      </c>
      <c r="C1741">
        <v>56</v>
      </c>
      <c r="D1741">
        <v>310.89999999999998</v>
      </c>
      <c r="E1741" s="19">
        <v>45551</v>
      </c>
      <c r="F1741">
        <v>312.10000000000002</v>
      </c>
      <c r="G1741" s="19">
        <v>45631</v>
      </c>
      <c r="H1741">
        <v>-0.38597619813446299</v>
      </c>
    </row>
    <row r="1742" spans="1:8" x14ac:dyDescent="0.25">
      <c r="A1742" t="s">
        <v>243</v>
      </c>
      <c r="B1742" t="s">
        <v>385</v>
      </c>
      <c r="C1742">
        <v>206</v>
      </c>
      <c r="D1742">
        <v>165.35</v>
      </c>
      <c r="E1742" s="19">
        <v>45245</v>
      </c>
      <c r="F1742">
        <v>317.7</v>
      </c>
      <c r="G1742" s="19">
        <v>45547</v>
      </c>
      <c r="H1742">
        <v>92.137889325672816</v>
      </c>
    </row>
    <row r="1743" spans="1:8" x14ac:dyDescent="0.25">
      <c r="A1743" t="s">
        <v>243</v>
      </c>
      <c r="B1743" t="s">
        <v>383</v>
      </c>
      <c r="C1743">
        <v>10</v>
      </c>
      <c r="D1743">
        <v>144.44999999999999</v>
      </c>
      <c r="E1743" s="19">
        <v>45230</v>
      </c>
      <c r="F1743">
        <v>157.69999999999999</v>
      </c>
      <c r="G1743" s="19">
        <v>45242</v>
      </c>
      <c r="H1743">
        <v>-9.1727241259951544</v>
      </c>
    </row>
    <row r="1744" spans="1:8" x14ac:dyDescent="0.25">
      <c r="A1744" t="s">
        <v>243</v>
      </c>
      <c r="B1744" t="s">
        <v>385</v>
      </c>
      <c r="C1744">
        <v>302</v>
      </c>
      <c r="D1744">
        <v>63.65</v>
      </c>
      <c r="E1744" s="19">
        <v>44781</v>
      </c>
      <c r="F1744">
        <v>147.25</v>
      </c>
      <c r="G1744" s="19">
        <v>45226</v>
      </c>
      <c r="H1744">
        <v>131.34328358208961</v>
      </c>
    </row>
    <row r="1745" spans="1:8" x14ac:dyDescent="0.25">
      <c r="A1745" t="s">
        <v>244</v>
      </c>
      <c r="B1745" t="s">
        <v>385</v>
      </c>
      <c r="C1745">
        <v>23</v>
      </c>
      <c r="D1745">
        <v>1219.55</v>
      </c>
      <c r="E1745" s="19">
        <v>45629</v>
      </c>
      <c r="F1745">
        <v>1377.9</v>
      </c>
      <c r="G1745" s="19">
        <v>45660</v>
      </c>
      <c r="H1745">
        <v>12.984297486777921</v>
      </c>
    </row>
    <row r="1746" spans="1:8" x14ac:dyDescent="0.25">
      <c r="A1746" t="s">
        <v>244</v>
      </c>
      <c r="B1746" t="s">
        <v>383</v>
      </c>
      <c r="C1746">
        <v>31</v>
      </c>
      <c r="D1746">
        <v>994.7</v>
      </c>
      <c r="E1746" s="19">
        <v>45581</v>
      </c>
      <c r="F1746">
        <v>1040.8499999999999</v>
      </c>
      <c r="G1746" s="19">
        <v>45625</v>
      </c>
      <c r="H1746">
        <v>-4.6395898260781996</v>
      </c>
    </row>
    <row r="1747" spans="1:8" x14ac:dyDescent="0.25">
      <c r="A1747" t="s">
        <v>244</v>
      </c>
      <c r="B1747" t="s">
        <v>385</v>
      </c>
      <c r="C1747">
        <v>83</v>
      </c>
      <c r="D1747">
        <v>802.95</v>
      </c>
      <c r="E1747" s="19">
        <v>45457</v>
      </c>
      <c r="F1747">
        <v>1004</v>
      </c>
      <c r="G1747" s="19">
        <v>45579</v>
      </c>
      <c r="H1747">
        <v>25.03891898623824</v>
      </c>
    </row>
    <row r="1748" spans="1:8" x14ac:dyDescent="0.25">
      <c r="A1748" t="s">
        <v>244</v>
      </c>
      <c r="B1748" t="s">
        <v>383</v>
      </c>
      <c r="C1748">
        <v>24</v>
      </c>
      <c r="D1748">
        <v>720.4</v>
      </c>
      <c r="E1748" s="19">
        <v>45422</v>
      </c>
      <c r="F1748">
        <v>777.25</v>
      </c>
      <c r="G1748" s="19">
        <v>45455</v>
      </c>
      <c r="H1748">
        <v>-7.8914491948917309</v>
      </c>
    </row>
    <row r="1749" spans="1:8" x14ac:dyDescent="0.25">
      <c r="A1749" t="s">
        <v>244</v>
      </c>
      <c r="B1749" t="s">
        <v>385</v>
      </c>
      <c r="C1749">
        <v>9</v>
      </c>
      <c r="D1749">
        <v>759.4</v>
      </c>
      <c r="E1749" s="19">
        <v>45407</v>
      </c>
      <c r="F1749">
        <v>738.1</v>
      </c>
      <c r="G1749" s="19">
        <v>45420</v>
      </c>
      <c r="H1749">
        <v>-2.8048459309981508</v>
      </c>
    </row>
    <row r="1750" spans="1:8" x14ac:dyDescent="0.25">
      <c r="A1750" t="s">
        <v>244</v>
      </c>
      <c r="B1750" t="s">
        <v>383</v>
      </c>
      <c r="C1750">
        <v>47</v>
      </c>
      <c r="D1750">
        <v>743</v>
      </c>
      <c r="E1750" s="19">
        <v>45335</v>
      </c>
      <c r="F1750">
        <v>808.55</v>
      </c>
      <c r="G1750" s="19">
        <v>45405</v>
      </c>
      <c r="H1750">
        <v>-8.8223418573351218</v>
      </c>
    </row>
    <row r="1751" spans="1:8" x14ac:dyDescent="0.25">
      <c r="A1751" t="s">
        <v>244</v>
      </c>
      <c r="B1751" t="s">
        <v>385</v>
      </c>
      <c r="C1751">
        <v>42</v>
      </c>
      <c r="D1751">
        <v>779.65</v>
      </c>
      <c r="E1751" s="19">
        <v>45272</v>
      </c>
      <c r="F1751">
        <v>779.35</v>
      </c>
      <c r="G1751" s="19">
        <v>45331</v>
      </c>
      <c r="H1751">
        <v>-3.8478804591798192E-2</v>
      </c>
    </row>
    <row r="1752" spans="1:8" x14ac:dyDescent="0.25">
      <c r="A1752" t="s">
        <v>244</v>
      </c>
      <c r="B1752" t="s">
        <v>383</v>
      </c>
      <c r="C1752">
        <v>41</v>
      </c>
      <c r="D1752">
        <v>784.25</v>
      </c>
      <c r="E1752" s="19">
        <v>45210</v>
      </c>
      <c r="F1752">
        <v>794.45</v>
      </c>
      <c r="G1752" s="19">
        <v>45268</v>
      </c>
      <c r="H1752">
        <v>-1.300605674211035</v>
      </c>
    </row>
    <row r="1753" spans="1:8" x14ac:dyDescent="0.25">
      <c r="A1753" t="s">
        <v>244</v>
      </c>
      <c r="B1753" t="s">
        <v>385</v>
      </c>
      <c r="C1753">
        <v>109</v>
      </c>
      <c r="D1753">
        <v>616.5</v>
      </c>
      <c r="E1753" s="19">
        <v>45050</v>
      </c>
      <c r="F1753">
        <v>755.05</v>
      </c>
      <c r="G1753" s="19">
        <v>45208</v>
      </c>
      <c r="H1753">
        <v>22.473641524736411</v>
      </c>
    </row>
    <row r="1754" spans="1:8" x14ac:dyDescent="0.25">
      <c r="A1754" t="s">
        <v>245</v>
      </c>
      <c r="B1754" t="s">
        <v>383</v>
      </c>
      <c r="C1754">
        <v>5</v>
      </c>
      <c r="D1754">
        <v>949.75</v>
      </c>
      <c r="E1754" s="19">
        <v>45656</v>
      </c>
      <c r="F1754">
        <v>995.6</v>
      </c>
      <c r="G1754" s="19">
        <v>45660</v>
      </c>
      <c r="H1754">
        <v>-4.8275862068965543</v>
      </c>
    </row>
    <row r="1755" spans="1:8" x14ac:dyDescent="0.25">
      <c r="A1755" t="s">
        <v>245</v>
      </c>
      <c r="B1755" t="s">
        <v>385</v>
      </c>
      <c r="C1755">
        <v>36</v>
      </c>
      <c r="D1755">
        <v>991.3</v>
      </c>
      <c r="E1755" s="19">
        <v>45600</v>
      </c>
      <c r="F1755">
        <v>949.05</v>
      </c>
      <c r="G1755" s="19">
        <v>45652</v>
      </c>
      <c r="H1755">
        <v>-4.2620800968425296</v>
      </c>
    </row>
    <row r="1756" spans="1:8" x14ac:dyDescent="0.25">
      <c r="A1756" t="s">
        <v>245</v>
      </c>
      <c r="B1756" t="s">
        <v>383</v>
      </c>
      <c r="C1756">
        <v>5</v>
      </c>
      <c r="D1756">
        <v>889.45</v>
      </c>
      <c r="E1756" s="19">
        <v>45590</v>
      </c>
      <c r="F1756">
        <v>990.6</v>
      </c>
      <c r="G1756" s="19">
        <v>45596</v>
      </c>
      <c r="H1756">
        <v>-11.372196301084941</v>
      </c>
    </row>
    <row r="1757" spans="1:8" x14ac:dyDescent="0.25">
      <c r="A1757" t="s">
        <v>245</v>
      </c>
      <c r="B1757" t="s">
        <v>385</v>
      </c>
      <c r="C1757">
        <v>43</v>
      </c>
      <c r="D1757">
        <v>943.8</v>
      </c>
      <c r="E1757" s="19">
        <v>45527</v>
      </c>
      <c r="F1757">
        <v>907.95</v>
      </c>
      <c r="G1757" s="19">
        <v>45588</v>
      </c>
      <c r="H1757">
        <v>-3.7984742530196982</v>
      </c>
    </row>
    <row r="1758" spans="1:8" x14ac:dyDescent="0.25">
      <c r="A1758" t="s">
        <v>245</v>
      </c>
      <c r="B1758" t="s">
        <v>383</v>
      </c>
      <c r="C1758">
        <v>10</v>
      </c>
      <c r="D1758">
        <v>884.75</v>
      </c>
      <c r="E1758" s="19">
        <v>45511</v>
      </c>
      <c r="F1758">
        <v>919.1</v>
      </c>
      <c r="G1758" s="19">
        <v>45525</v>
      </c>
      <c r="H1758">
        <v>-3.8824526702458351</v>
      </c>
    </row>
    <row r="1759" spans="1:8" x14ac:dyDescent="0.25">
      <c r="A1759" t="s">
        <v>245</v>
      </c>
      <c r="B1759" t="s">
        <v>385</v>
      </c>
      <c r="C1759">
        <v>66</v>
      </c>
      <c r="D1759">
        <v>851.25</v>
      </c>
      <c r="E1759" s="19">
        <v>45414</v>
      </c>
      <c r="F1759">
        <v>836.45</v>
      </c>
      <c r="G1759" s="19">
        <v>45509</v>
      </c>
      <c r="H1759">
        <v>-1.738619676945663</v>
      </c>
    </row>
    <row r="1760" spans="1:8" x14ac:dyDescent="0.25">
      <c r="A1760" t="s">
        <v>245</v>
      </c>
      <c r="B1760" t="s">
        <v>383</v>
      </c>
      <c r="C1760">
        <v>29</v>
      </c>
      <c r="D1760">
        <v>809.1</v>
      </c>
      <c r="E1760" s="19">
        <v>45365</v>
      </c>
      <c r="F1760">
        <v>861.65</v>
      </c>
      <c r="G1760" s="19">
        <v>45411</v>
      </c>
      <c r="H1760">
        <v>-6.4948708441478127</v>
      </c>
    </row>
    <row r="1761" spans="1:8" x14ac:dyDescent="0.25">
      <c r="A1761" t="s">
        <v>245</v>
      </c>
      <c r="B1761" t="s">
        <v>385</v>
      </c>
      <c r="C1761">
        <v>83</v>
      </c>
      <c r="D1761">
        <v>778.45</v>
      </c>
      <c r="E1761" s="19">
        <v>45243</v>
      </c>
      <c r="F1761">
        <v>800.1</v>
      </c>
      <c r="G1761" s="19">
        <v>45363</v>
      </c>
      <c r="H1761">
        <v>2.781167705054914</v>
      </c>
    </row>
    <row r="1762" spans="1:8" x14ac:dyDescent="0.25">
      <c r="A1762" t="s">
        <v>245</v>
      </c>
      <c r="B1762" t="s">
        <v>383</v>
      </c>
      <c r="C1762">
        <v>18</v>
      </c>
      <c r="D1762">
        <v>679.45</v>
      </c>
      <c r="E1762" s="19">
        <v>45216</v>
      </c>
      <c r="F1762">
        <v>756.45</v>
      </c>
      <c r="G1762" s="19">
        <v>45240</v>
      </c>
      <c r="H1762">
        <v>-11.332695562587389</v>
      </c>
    </row>
    <row r="1763" spans="1:8" x14ac:dyDescent="0.25">
      <c r="A1763" t="s">
        <v>245</v>
      </c>
      <c r="B1763" t="s">
        <v>385</v>
      </c>
      <c r="C1763">
        <v>112</v>
      </c>
      <c r="D1763">
        <v>569.75</v>
      </c>
      <c r="E1763" s="19">
        <v>45051</v>
      </c>
      <c r="F1763">
        <v>671.15</v>
      </c>
      <c r="G1763" s="19">
        <v>45212</v>
      </c>
      <c r="H1763">
        <v>17.797279508556379</v>
      </c>
    </row>
    <row r="1764" spans="1:8" x14ac:dyDescent="0.25">
      <c r="A1764" t="s">
        <v>246</v>
      </c>
      <c r="B1764" t="s">
        <v>383</v>
      </c>
      <c r="C1764">
        <v>3</v>
      </c>
      <c r="D1764">
        <v>14294.1</v>
      </c>
      <c r="E1764" s="19">
        <v>45658</v>
      </c>
      <c r="F1764">
        <v>13774.2</v>
      </c>
      <c r="G1764" s="19">
        <v>45660</v>
      </c>
      <c r="H1764">
        <v>3.6371649841542988</v>
      </c>
    </row>
    <row r="1765" spans="1:8" x14ac:dyDescent="0.25">
      <c r="A1765" t="s">
        <v>246</v>
      </c>
      <c r="B1765" t="s">
        <v>385</v>
      </c>
      <c r="C1765">
        <v>128</v>
      </c>
      <c r="D1765">
        <v>7267.8</v>
      </c>
      <c r="E1765" s="19">
        <v>45469</v>
      </c>
      <c r="F1765">
        <v>13845.6</v>
      </c>
      <c r="G1765" s="19">
        <v>45656</v>
      </c>
      <c r="H1765">
        <v>90.506067860975818</v>
      </c>
    </row>
    <row r="1766" spans="1:8" x14ac:dyDescent="0.25">
      <c r="A1766" t="s">
        <v>246</v>
      </c>
      <c r="B1766" t="s">
        <v>383</v>
      </c>
      <c r="C1766">
        <v>23</v>
      </c>
      <c r="D1766">
        <v>6294.3</v>
      </c>
      <c r="E1766" s="19">
        <v>45434</v>
      </c>
      <c r="F1766">
        <v>6704.85</v>
      </c>
      <c r="G1766" s="19">
        <v>45467</v>
      </c>
      <c r="H1766">
        <v>-6.5225680377484414</v>
      </c>
    </row>
    <row r="1767" spans="1:8" x14ac:dyDescent="0.25">
      <c r="A1767" t="s">
        <v>246</v>
      </c>
      <c r="B1767" t="s">
        <v>385</v>
      </c>
      <c r="C1767">
        <v>297</v>
      </c>
      <c r="D1767">
        <v>1643.95</v>
      </c>
      <c r="E1767" s="19">
        <v>44991</v>
      </c>
      <c r="F1767">
        <v>6225.2</v>
      </c>
      <c r="G1767" s="19">
        <v>45430</v>
      </c>
      <c r="H1767">
        <v>278.67331731500349</v>
      </c>
    </row>
    <row r="1768" spans="1:8" x14ac:dyDescent="0.25">
      <c r="A1768" t="s">
        <v>247</v>
      </c>
      <c r="B1768" t="s">
        <v>383</v>
      </c>
      <c r="C1768">
        <v>92</v>
      </c>
      <c r="D1768">
        <v>2255.4499999999998</v>
      </c>
      <c r="E1768" s="19">
        <v>45527</v>
      </c>
      <c r="F1768">
        <v>1802</v>
      </c>
      <c r="G1768" s="19">
        <v>45660</v>
      </c>
      <c r="H1768">
        <v>20.104635438604259</v>
      </c>
    </row>
    <row r="1769" spans="1:8" x14ac:dyDescent="0.25">
      <c r="A1769" t="s">
        <v>247</v>
      </c>
      <c r="B1769" t="s">
        <v>385</v>
      </c>
      <c r="C1769">
        <v>121</v>
      </c>
      <c r="D1769">
        <v>2148.5</v>
      </c>
      <c r="E1769" s="19">
        <v>45345</v>
      </c>
      <c r="F1769">
        <v>2318.4499999999998</v>
      </c>
      <c r="G1769" s="19">
        <v>45525</v>
      </c>
      <c r="H1769">
        <v>7.9101698859669458</v>
      </c>
    </row>
    <row r="1770" spans="1:8" x14ac:dyDescent="0.25">
      <c r="A1770" t="s">
        <v>247</v>
      </c>
      <c r="B1770" t="s">
        <v>383</v>
      </c>
      <c r="C1770">
        <v>19</v>
      </c>
      <c r="D1770">
        <v>1925</v>
      </c>
      <c r="E1770" s="19">
        <v>45316</v>
      </c>
      <c r="F1770">
        <v>2142.4499999999998</v>
      </c>
      <c r="G1770" s="19">
        <v>45343</v>
      </c>
      <c r="H1770">
        <v>-11.29610389610389</v>
      </c>
    </row>
    <row r="1771" spans="1:8" x14ac:dyDescent="0.25">
      <c r="A1771" t="s">
        <v>247</v>
      </c>
      <c r="B1771" t="s">
        <v>385</v>
      </c>
      <c r="C1771">
        <v>39</v>
      </c>
      <c r="D1771">
        <v>2012.7</v>
      </c>
      <c r="E1771" s="19">
        <v>45259</v>
      </c>
      <c r="F1771">
        <v>1892.65</v>
      </c>
      <c r="G1771" s="19">
        <v>45314</v>
      </c>
      <c r="H1771">
        <v>-5.9646246335767854</v>
      </c>
    </row>
    <row r="1772" spans="1:8" x14ac:dyDescent="0.25">
      <c r="A1772" t="s">
        <v>247</v>
      </c>
      <c r="B1772" t="s">
        <v>383</v>
      </c>
      <c r="C1772">
        <v>36</v>
      </c>
      <c r="D1772">
        <v>1934.95</v>
      </c>
      <c r="E1772" s="19">
        <v>45204</v>
      </c>
      <c r="F1772">
        <v>1978</v>
      </c>
      <c r="G1772" s="19">
        <v>45254</v>
      </c>
      <c r="H1772">
        <v>-2.2248636915682551</v>
      </c>
    </row>
    <row r="1773" spans="1:8" x14ac:dyDescent="0.25">
      <c r="A1773" t="s">
        <v>247</v>
      </c>
      <c r="B1773" t="s">
        <v>385</v>
      </c>
      <c r="C1773">
        <v>109</v>
      </c>
      <c r="D1773">
        <v>1455.4</v>
      </c>
      <c r="E1773" s="19">
        <v>45043</v>
      </c>
      <c r="F1773">
        <v>1931</v>
      </c>
      <c r="G1773" s="19">
        <v>45202</v>
      </c>
      <c r="H1773">
        <v>32.678301497870002</v>
      </c>
    </row>
    <row r="1774" spans="1:8" x14ac:dyDescent="0.25">
      <c r="A1774" t="s">
        <v>248</v>
      </c>
      <c r="B1774" t="s">
        <v>383</v>
      </c>
      <c r="C1774">
        <v>99</v>
      </c>
      <c r="D1774">
        <v>95.12</v>
      </c>
      <c r="E1774" s="19">
        <v>45517</v>
      </c>
      <c r="F1774">
        <v>83.09</v>
      </c>
      <c r="G1774" s="19">
        <v>45660</v>
      </c>
      <c r="H1774">
        <v>12.64718250630782</v>
      </c>
    </row>
    <row r="1775" spans="1:8" x14ac:dyDescent="0.25">
      <c r="A1775" t="s">
        <v>248</v>
      </c>
      <c r="B1775" t="s">
        <v>385</v>
      </c>
      <c r="C1775">
        <v>179</v>
      </c>
      <c r="D1775">
        <v>54.4</v>
      </c>
      <c r="E1775" s="19">
        <v>45251</v>
      </c>
      <c r="F1775">
        <v>97.77</v>
      </c>
      <c r="G1775" s="19">
        <v>45513</v>
      </c>
      <c r="H1775">
        <v>79.724264705882348</v>
      </c>
    </row>
    <row r="1776" spans="1:8" x14ac:dyDescent="0.25">
      <c r="A1776" t="s">
        <v>248</v>
      </c>
      <c r="B1776" t="s">
        <v>383</v>
      </c>
      <c r="C1776">
        <v>12</v>
      </c>
      <c r="D1776">
        <v>50.5</v>
      </c>
      <c r="E1776" s="19">
        <v>45232</v>
      </c>
      <c r="F1776">
        <v>52.7</v>
      </c>
      <c r="G1776" s="19">
        <v>45247</v>
      </c>
      <c r="H1776">
        <v>-4.3564356435643621</v>
      </c>
    </row>
    <row r="1777" spans="1:8" x14ac:dyDescent="0.25">
      <c r="A1777" t="s">
        <v>248</v>
      </c>
      <c r="B1777" t="s">
        <v>385</v>
      </c>
      <c r="C1777">
        <v>137</v>
      </c>
      <c r="D1777">
        <v>42.85</v>
      </c>
      <c r="E1777" s="19">
        <v>45029</v>
      </c>
      <c r="F1777">
        <v>50.2</v>
      </c>
      <c r="G1777" s="19">
        <v>45230</v>
      </c>
      <c r="H1777">
        <v>17.152858809801639</v>
      </c>
    </row>
    <row r="1778" spans="1:8" x14ac:dyDescent="0.25">
      <c r="A1778" t="s">
        <v>249</v>
      </c>
      <c r="B1778" t="s">
        <v>385</v>
      </c>
      <c r="C1778">
        <v>55</v>
      </c>
      <c r="D1778">
        <v>718.7</v>
      </c>
      <c r="E1778" s="19">
        <v>45581</v>
      </c>
      <c r="F1778">
        <v>758.25</v>
      </c>
      <c r="G1778" s="19">
        <v>45660</v>
      </c>
      <c r="H1778">
        <v>5.5029915124530344</v>
      </c>
    </row>
    <row r="1779" spans="1:8" x14ac:dyDescent="0.25">
      <c r="A1779" t="s">
        <v>249</v>
      </c>
      <c r="B1779" t="s">
        <v>383</v>
      </c>
      <c r="C1779">
        <v>4</v>
      </c>
      <c r="D1779">
        <v>645.1</v>
      </c>
      <c r="E1779" s="19">
        <v>45574</v>
      </c>
      <c r="F1779">
        <v>697.1</v>
      </c>
      <c r="G1779" s="19">
        <v>45579</v>
      </c>
      <c r="H1779">
        <v>-8.060765772748411</v>
      </c>
    </row>
    <row r="1780" spans="1:8" x14ac:dyDescent="0.25">
      <c r="A1780" t="s">
        <v>249</v>
      </c>
      <c r="B1780" t="s">
        <v>385</v>
      </c>
      <c r="C1780">
        <v>124</v>
      </c>
      <c r="D1780">
        <v>516.70000000000005</v>
      </c>
      <c r="E1780" s="19">
        <v>45390</v>
      </c>
      <c r="F1780">
        <v>631.04999999999995</v>
      </c>
      <c r="G1780" s="19">
        <v>45572</v>
      </c>
      <c r="H1780">
        <v>22.130830269014879</v>
      </c>
    </row>
    <row r="1781" spans="1:8" x14ac:dyDescent="0.25">
      <c r="A1781" t="s">
        <v>249</v>
      </c>
      <c r="B1781" t="s">
        <v>383</v>
      </c>
      <c r="C1781">
        <v>10</v>
      </c>
      <c r="D1781">
        <v>441.2</v>
      </c>
      <c r="E1781" s="19">
        <v>45371</v>
      </c>
      <c r="F1781">
        <v>521.5</v>
      </c>
      <c r="G1781" s="19">
        <v>45386</v>
      </c>
      <c r="H1781">
        <v>-18.20036264732548</v>
      </c>
    </row>
    <row r="1782" spans="1:8" x14ac:dyDescent="0.25">
      <c r="A1782" t="s">
        <v>249</v>
      </c>
      <c r="B1782" t="s">
        <v>385</v>
      </c>
      <c r="C1782">
        <v>227</v>
      </c>
      <c r="D1782">
        <v>234.55</v>
      </c>
      <c r="E1782" s="19">
        <v>45040</v>
      </c>
      <c r="F1782">
        <v>445.8</v>
      </c>
      <c r="G1782" s="19">
        <v>45369</v>
      </c>
      <c r="H1782">
        <v>90.066083990620328</v>
      </c>
    </row>
    <row r="1783" spans="1:8" x14ac:dyDescent="0.25">
      <c r="A1783" t="s">
        <v>250</v>
      </c>
      <c r="B1783" t="s">
        <v>383</v>
      </c>
      <c r="C1783">
        <v>9</v>
      </c>
      <c r="D1783">
        <v>71.349999999999994</v>
      </c>
      <c r="E1783" s="19">
        <v>45649</v>
      </c>
      <c r="F1783">
        <v>67.66</v>
      </c>
      <c r="G1783" s="19">
        <v>45660</v>
      </c>
      <c r="H1783">
        <v>5.1716888577435149</v>
      </c>
    </row>
    <row r="1784" spans="1:8" x14ac:dyDescent="0.25">
      <c r="A1784" t="s">
        <v>250</v>
      </c>
      <c r="B1784" t="s">
        <v>385</v>
      </c>
      <c r="C1784">
        <v>13</v>
      </c>
      <c r="D1784">
        <v>78.56</v>
      </c>
      <c r="E1784" s="19">
        <v>45629</v>
      </c>
      <c r="F1784">
        <v>71.37</v>
      </c>
      <c r="G1784" s="19">
        <v>45645</v>
      </c>
      <c r="H1784">
        <v>-9.1522403258655771</v>
      </c>
    </row>
    <row r="1785" spans="1:8" x14ac:dyDescent="0.25">
      <c r="A1785" t="s">
        <v>250</v>
      </c>
      <c r="B1785" t="s">
        <v>383</v>
      </c>
      <c r="C1785">
        <v>7</v>
      </c>
      <c r="D1785">
        <v>72.540000000000006</v>
      </c>
      <c r="E1785" s="19">
        <v>45617</v>
      </c>
      <c r="F1785">
        <v>76.69</v>
      </c>
      <c r="G1785" s="19">
        <v>45625</v>
      </c>
      <c r="H1785">
        <v>-5.7209815274331284</v>
      </c>
    </row>
    <row r="1786" spans="1:8" x14ac:dyDescent="0.25">
      <c r="A1786" t="s">
        <v>250</v>
      </c>
      <c r="B1786" t="s">
        <v>385</v>
      </c>
      <c r="C1786">
        <v>7</v>
      </c>
      <c r="D1786">
        <v>79.64</v>
      </c>
      <c r="E1786" s="19">
        <v>45603</v>
      </c>
      <c r="F1786">
        <v>74.239999999999995</v>
      </c>
      <c r="G1786" s="19">
        <v>45614</v>
      </c>
      <c r="H1786">
        <v>-6.7805123053741907</v>
      </c>
    </row>
    <row r="1787" spans="1:8" x14ac:dyDescent="0.25">
      <c r="A1787" t="s">
        <v>250</v>
      </c>
      <c r="B1787" t="s">
        <v>383</v>
      </c>
      <c r="C1787">
        <v>8</v>
      </c>
      <c r="D1787">
        <v>72.61</v>
      </c>
      <c r="E1787" s="19">
        <v>45590</v>
      </c>
      <c r="F1787">
        <v>78.239999999999995</v>
      </c>
      <c r="G1787" s="19">
        <v>45601</v>
      </c>
      <c r="H1787">
        <v>-7.7537529265941263</v>
      </c>
    </row>
    <row r="1788" spans="1:8" x14ac:dyDescent="0.25">
      <c r="A1788" t="s">
        <v>250</v>
      </c>
      <c r="B1788" t="s">
        <v>385</v>
      </c>
      <c r="C1788">
        <v>13</v>
      </c>
      <c r="D1788">
        <v>76.25</v>
      </c>
      <c r="E1788" s="19">
        <v>45572</v>
      </c>
      <c r="F1788">
        <v>72.760000000000005</v>
      </c>
      <c r="G1788" s="19">
        <v>45588</v>
      </c>
      <c r="H1788">
        <v>-4.5770491803278617</v>
      </c>
    </row>
    <row r="1789" spans="1:8" x14ac:dyDescent="0.25">
      <c r="A1789" t="s">
        <v>250</v>
      </c>
      <c r="B1789" t="s">
        <v>383</v>
      </c>
      <c r="C1789">
        <v>58</v>
      </c>
      <c r="D1789">
        <v>82.06</v>
      </c>
      <c r="E1789" s="19">
        <v>45484</v>
      </c>
      <c r="F1789">
        <v>79.8</v>
      </c>
      <c r="G1789" s="19">
        <v>45568</v>
      </c>
      <c r="H1789">
        <v>2.7540823787472641</v>
      </c>
    </row>
    <row r="1790" spans="1:8" x14ac:dyDescent="0.25">
      <c r="A1790" t="s">
        <v>250</v>
      </c>
      <c r="B1790" t="s">
        <v>385</v>
      </c>
      <c r="C1790">
        <v>59</v>
      </c>
      <c r="D1790">
        <v>80.3</v>
      </c>
      <c r="E1790" s="19">
        <v>45397</v>
      </c>
      <c r="F1790">
        <v>83.77</v>
      </c>
      <c r="G1790" s="19">
        <v>45482</v>
      </c>
      <c r="H1790">
        <v>4.3212951432129501</v>
      </c>
    </row>
    <row r="1791" spans="1:8" x14ac:dyDescent="0.25">
      <c r="A1791" t="s">
        <v>250</v>
      </c>
      <c r="B1791" t="s">
        <v>383</v>
      </c>
      <c r="C1791">
        <v>14</v>
      </c>
      <c r="D1791">
        <v>68.599999999999994</v>
      </c>
      <c r="E1791" s="19">
        <v>45371</v>
      </c>
      <c r="F1791">
        <v>80.37</v>
      </c>
      <c r="G1791" s="19">
        <v>45392</v>
      </c>
      <c r="H1791">
        <v>-17.157434402332381</v>
      </c>
    </row>
    <row r="1792" spans="1:8" x14ac:dyDescent="0.25">
      <c r="A1792" t="s">
        <v>250</v>
      </c>
      <c r="B1792" t="s">
        <v>385</v>
      </c>
      <c r="C1792">
        <v>169</v>
      </c>
      <c r="D1792">
        <v>37.78</v>
      </c>
      <c r="E1792" s="19">
        <v>45124</v>
      </c>
      <c r="F1792">
        <v>67.569999999999993</v>
      </c>
      <c r="G1792" s="19">
        <v>45369</v>
      </c>
      <c r="H1792">
        <v>78.851244044467947</v>
      </c>
    </row>
    <row r="1793" spans="1:8" x14ac:dyDescent="0.25">
      <c r="A1793" t="s">
        <v>250</v>
      </c>
      <c r="B1793" t="s">
        <v>383</v>
      </c>
      <c r="C1793">
        <v>94</v>
      </c>
      <c r="D1793">
        <v>39.020000000000003</v>
      </c>
      <c r="E1793" s="19">
        <v>44980</v>
      </c>
      <c r="F1793">
        <v>37.17</v>
      </c>
      <c r="G1793" s="19">
        <v>45120</v>
      </c>
      <c r="H1793">
        <v>4.7411583803177892</v>
      </c>
    </row>
    <row r="1794" spans="1:8" x14ac:dyDescent="0.25">
      <c r="A1794" t="s">
        <v>251</v>
      </c>
      <c r="B1794" t="s">
        <v>383</v>
      </c>
      <c r="C1794">
        <v>5</v>
      </c>
      <c r="D1794">
        <v>277.8</v>
      </c>
      <c r="E1794" s="19">
        <v>45656</v>
      </c>
      <c r="F1794">
        <v>290.05</v>
      </c>
      <c r="G1794" s="19">
        <v>45660</v>
      </c>
      <c r="H1794">
        <v>-4.4096472282217416</v>
      </c>
    </row>
    <row r="1795" spans="1:8" x14ac:dyDescent="0.25">
      <c r="A1795" t="s">
        <v>251</v>
      </c>
      <c r="B1795" t="s">
        <v>385</v>
      </c>
      <c r="C1795">
        <v>15</v>
      </c>
      <c r="D1795">
        <v>301.64999999999998</v>
      </c>
      <c r="E1795" s="19">
        <v>45631</v>
      </c>
      <c r="F1795">
        <v>279.35000000000002</v>
      </c>
      <c r="G1795" s="19">
        <v>45652</v>
      </c>
      <c r="H1795">
        <v>-7.3926736283772438</v>
      </c>
    </row>
    <row r="1796" spans="1:8" x14ac:dyDescent="0.25">
      <c r="A1796" t="s">
        <v>251</v>
      </c>
      <c r="B1796" t="s">
        <v>383</v>
      </c>
      <c r="C1796">
        <v>82</v>
      </c>
      <c r="D1796">
        <v>310.3</v>
      </c>
      <c r="E1796" s="19">
        <v>45510</v>
      </c>
      <c r="F1796">
        <v>306.45</v>
      </c>
      <c r="G1796" s="19">
        <v>45629</v>
      </c>
      <c r="H1796">
        <v>1.2407347728005229</v>
      </c>
    </row>
    <row r="1797" spans="1:8" x14ac:dyDescent="0.25">
      <c r="A1797" t="s">
        <v>251</v>
      </c>
      <c r="B1797" t="s">
        <v>385</v>
      </c>
      <c r="C1797">
        <v>70</v>
      </c>
      <c r="D1797">
        <v>323.75</v>
      </c>
      <c r="E1797" s="19">
        <v>45406</v>
      </c>
      <c r="F1797">
        <v>325.95</v>
      </c>
      <c r="G1797" s="19">
        <v>45506</v>
      </c>
      <c r="H1797">
        <v>0.67953667953667596</v>
      </c>
    </row>
    <row r="1798" spans="1:8" x14ac:dyDescent="0.25">
      <c r="A1798" t="s">
        <v>251</v>
      </c>
      <c r="B1798" t="s">
        <v>383</v>
      </c>
      <c r="C1798">
        <v>33</v>
      </c>
      <c r="D1798">
        <v>314.75</v>
      </c>
      <c r="E1798" s="19">
        <v>45352</v>
      </c>
      <c r="F1798">
        <v>319.75</v>
      </c>
      <c r="G1798" s="19">
        <v>45404</v>
      </c>
      <c r="H1798">
        <v>-1.5885623510722791</v>
      </c>
    </row>
    <row r="1799" spans="1:8" x14ac:dyDescent="0.25">
      <c r="A1799" t="s">
        <v>251</v>
      </c>
      <c r="B1799" t="s">
        <v>385</v>
      </c>
      <c r="C1799">
        <v>212</v>
      </c>
      <c r="D1799">
        <v>150.65</v>
      </c>
      <c r="E1799" s="19">
        <v>45042</v>
      </c>
      <c r="F1799">
        <v>316.10000000000002</v>
      </c>
      <c r="G1799" s="19">
        <v>45350</v>
      </c>
      <c r="H1799">
        <v>109.82409558579489</v>
      </c>
    </row>
    <row r="1800" spans="1:8" x14ac:dyDescent="0.25">
      <c r="A1800" t="s">
        <v>252</v>
      </c>
      <c r="B1800" t="s">
        <v>383</v>
      </c>
      <c r="C1800">
        <v>40</v>
      </c>
      <c r="D1800">
        <v>408.9</v>
      </c>
      <c r="E1800" s="19">
        <v>45602</v>
      </c>
      <c r="F1800">
        <v>339.85</v>
      </c>
      <c r="G1800" s="19">
        <v>45660</v>
      </c>
      <c r="H1800">
        <v>16.886769381266799</v>
      </c>
    </row>
    <row r="1801" spans="1:8" x14ac:dyDescent="0.25">
      <c r="A1801" t="s">
        <v>252</v>
      </c>
      <c r="B1801" t="s">
        <v>385</v>
      </c>
      <c r="C1801">
        <v>375</v>
      </c>
      <c r="D1801">
        <v>174.25</v>
      </c>
      <c r="E1801" s="19">
        <v>45051</v>
      </c>
      <c r="F1801">
        <v>400.95</v>
      </c>
      <c r="G1801" s="19">
        <v>45600</v>
      </c>
      <c r="H1801">
        <v>130.10043041606889</v>
      </c>
    </row>
    <row r="1802" spans="1:8" x14ac:dyDescent="0.25">
      <c r="A1802" t="s">
        <v>253</v>
      </c>
      <c r="B1802" t="s">
        <v>383</v>
      </c>
      <c r="C1802">
        <v>76</v>
      </c>
      <c r="D1802">
        <v>292.5</v>
      </c>
      <c r="E1802" s="19">
        <v>45551</v>
      </c>
      <c r="F1802">
        <v>258.89</v>
      </c>
      <c r="G1802" s="19">
        <v>45660</v>
      </c>
      <c r="H1802">
        <v>11.4905982905983</v>
      </c>
    </row>
    <row r="1803" spans="1:8" x14ac:dyDescent="0.25">
      <c r="A1803" t="s">
        <v>253</v>
      </c>
      <c r="B1803" t="s">
        <v>385</v>
      </c>
      <c r="C1803">
        <v>49</v>
      </c>
      <c r="D1803">
        <v>277.05</v>
      </c>
      <c r="E1803" s="19">
        <v>45477</v>
      </c>
      <c r="F1803">
        <v>294.05</v>
      </c>
      <c r="G1803" s="19">
        <v>45547</v>
      </c>
      <c r="H1803">
        <v>6.1360765204836669</v>
      </c>
    </row>
    <row r="1804" spans="1:8" x14ac:dyDescent="0.25">
      <c r="A1804" t="s">
        <v>253</v>
      </c>
      <c r="B1804" t="s">
        <v>383</v>
      </c>
      <c r="C1804">
        <v>19</v>
      </c>
      <c r="D1804">
        <v>247.5</v>
      </c>
      <c r="E1804" s="19">
        <v>45448</v>
      </c>
      <c r="F1804">
        <v>274.85000000000002</v>
      </c>
      <c r="G1804" s="19">
        <v>45475</v>
      </c>
      <c r="H1804">
        <v>-11.050505050505061</v>
      </c>
    </row>
    <row r="1805" spans="1:8" x14ac:dyDescent="0.25">
      <c r="A1805" t="s">
        <v>253</v>
      </c>
      <c r="B1805" t="s">
        <v>385</v>
      </c>
      <c r="C1805">
        <v>227</v>
      </c>
      <c r="D1805">
        <v>162.80000000000001</v>
      </c>
      <c r="E1805" s="19">
        <v>45112</v>
      </c>
      <c r="F1805">
        <v>284.10000000000002</v>
      </c>
      <c r="G1805" s="19">
        <v>45446</v>
      </c>
      <c r="H1805">
        <v>74.508599508599517</v>
      </c>
    </row>
    <row r="1806" spans="1:8" x14ac:dyDescent="0.25">
      <c r="A1806" t="s">
        <v>253</v>
      </c>
      <c r="B1806" t="s">
        <v>383</v>
      </c>
      <c r="C1806">
        <v>16</v>
      </c>
      <c r="D1806">
        <v>154.25</v>
      </c>
      <c r="E1806" s="19">
        <v>45086</v>
      </c>
      <c r="F1806">
        <v>162.94999999999999</v>
      </c>
      <c r="G1806" s="19">
        <v>45110</v>
      </c>
      <c r="H1806">
        <v>-5.6401944894651468</v>
      </c>
    </row>
    <row r="1807" spans="1:8" x14ac:dyDescent="0.25">
      <c r="A1807" t="s">
        <v>253</v>
      </c>
      <c r="B1807" t="s">
        <v>385</v>
      </c>
      <c r="C1807">
        <v>146</v>
      </c>
      <c r="D1807">
        <v>137.85</v>
      </c>
      <c r="E1807" s="19">
        <v>44869</v>
      </c>
      <c r="F1807">
        <v>153.85</v>
      </c>
      <c r="G1807" s="19">
        <v>45084</v>
      </c>
      <c r="H1807">
        <v>11.60681900616612</v>
      </c>
    </row>
    <row r="1808" spans="1:8" x14ac:dyDescent="0.25">
      <c r="A1808" t="s">
        <v>254</v>
      </c>
      <c r="B1808" t="s">
        <v>385</v>
      </c>
      <c r="C1808">
        <v>76</v>
      </c>
      <c r="D1808">
        <v>1801.9</v>
      </c>
      <c r="E1808" s="19">
        <v>45551</v>
      </c>
      <c r="F1808">
        <v>2255.1999999999998</v>
      </c>
      <c r="G1808" s="19">
        <v>45660</v>
      </c>
      <c r="H1808">
        <v>25.156778955546901</v>
      </c>
    </row>
    <row r="1809" spans="1:8" x14ac:dyDescent="0.25">
      <c r="A1809" t="s">
        <v>254</v>
      </c>
      <c r="B1809" t="s">
        <v>383</v>
      </c>
      <c r="C1809">
        <v>12</v>
      </c>
      <c r="D1809">
        <v>1711.25</v>
      </c>
      <c r="E1809" s="19">
        <v>45532</v>
      </c>
      <c r="F1809">
        <v>1767.5</v>
      </c>
      <c r="G1809" s="19">
        <v>45547</v>
      </c>
      <c r="H1809">
        <v>-3.2870708546384222</v>
      </c>
    </row>
    <row r="1810" spans="1:8" x14ac:dyDescent="0.25">
      <c r="A1810" t="s">
        <v>254</v>
      </c>
      <c r="B1810" t="s">
        <v>385</v>
      </c>
      <c r="C1810">
        <v>103</v>
      </c>
      <c r="D1810">
        <v>1495.05</v>
      </c>
      <c r="E1810" s="19">
        <v>45377</v>
      </c>
      <c r="F1810">
        <v>1738.65</v>
      </c>
      <c r="G1810" s="19">
        <v>45530</v>
      </c>
      <c r="H1810">
        <v>16.293769439149202</v>
      </c>
    </row>
    <row r="1811" spans="1:8" x14ac:dyDescent="0.25">
      <c r="A1811" t="s">
        <v>254</v>
      </c>
      <c r="B1811" t="s">
        <v>383</v>
      </c>
      <c r="C1811">
        <v>34</v>
      </c>
      <c r="D1811">
        <v>1297.55</v>
      </c>
      <c r="E1811" s="19">
        <v>45327</v>
      </c>
      <c r="F1811">
        <v>1424.75</v>
      </c>
      <c r="G1811" s="19">
        <v>45372</v>
      </c>
      <c r="H1811">
        <v>-9.8030904396747758</v>
      </c>
    </row>
    <row r="1812" spans="1:8" x14ac:dyDescent="0.25">
      <c r="A1812" t="s">
        <v>254</v>
      </c>
      <c r="B1812" t="s">
        <v>385</v>
      </c>
      <c r="C1812">
        <v>203</v>
      </c>
      <c r="D1812">
        <v>901.55</v>
      </c>
      <c r="E1812" s="19">
        <v>45027</v>
      </c>
      <c r="F1812">
        <v>1307.5999999999999</v>
      </c>
      <c r="G1812" s="19">
        <v>45323</v>
      </c>
      <c r="H1812">
        <v>45.039099328933503</v>
      </c>
    </row>
    <row r="1813" spans="1:8" x14ac:dyDescent="0.25">
      <c r="A1813" t="s">
        <v>255</v>
      </c>
      <c r="B1813" t="s">
        <v>383</v>
      </c>
      <c r="C1813">
        <v>67</v>
      </c>
      <c r="D1813">
        <v>586.75</v>
      </c>
      <c r="E1813" s="19">
        <v>45562</v>
      </c>
      <c r="F1813">
        <v>481.1</v>
      </c>
      <c r="G1813" s="19">
        <v>45660</v>
      </c>
      <c r="H1813">
        <v>18.005965061780991</v>
      </c>
    </row>
    <row r="1814" spans="1:8" x14ac:dyDescent="0.25">
      <c r="A1814" t="s">
        <v>255</v>
      </c>
      <c r="B1814" t="s">
        <v>385</v>
      </c>
      <c r="C1814">
        <v>293</v>
      </c>
      <c r="D1814">
        <v>172.73</v>
      </c>
      <c r="E1814" s="19">
        <v>45131</v>
      </c>
      <c r="F1814">
        <v>578.70000000000005</v>
      </c>
      <c r="G1814" s="19">
        <v>45560</v>
      </c>
      <c r="H1814">
        <v>235.03155213338741</v>
      </c>
    </row>
    <row r="1815" spans="1:8" x14ac:dyDescent="0.25">
      <c r="A1815" t="s">
        <v>255</v>
      </c>
      <c r="B1815" t="s">
        <v>383</v>
      </c>
      <c r="C1815">
        <v>24</v>
      </c>
      <c r="D1815">
        <v>169.57</v>
      </c>
      <c r="E1815" s="19">
        <v>45093</v>
      </c>
      <c r="F1815">
        <v>171.33</v>
      </c>
      <c r="G1815" s="19">
        <v>45127</v>
      </c>
      <c r="H1815">
        <v>-1.037919443297765</v>
      </c>
    </row>
    <row r="1816" spans="1:8" x14ac:dyDescent="0.25">
      <c r="A1816" t="s">
        <v>255</v>
      </c>
      <c r="B1816" t="s">
        <v>385</v>
      </c>
      <c r="C1816">
        <v>151</v>
      </c>
      <c r="D1816">
        <v>129.16999999999999</v>
      </c>
      <c r="E1816" s="19">
        <v>44869</v>
      </c>
      <c r="F1816">
        <v>168.73</v>
      </c>
      <c r="G1816" s="19">
        <v>45091</v>
      </c>
      <c r="H1816">
        <v>30.626306417898899</v>
      </c>
    </row>
    <row r="1817" spans="1:8" x14ac:dyDescent="0.25">
      <c r="A1817" t="s">
        <v>256</v>
      </c>
      <c r="B1817" t="s">
        <v>383</v>
      </c>
      <c r="C1817">
        <v>32</v>
      </c>
      <c r="D1817">
        <v>4148.8</v>
      </c>
      <c r="E1817" s="19">
        <v>45615</v>
      </c>
      <c r="F1817">
        <v>3668.4</v>
      </c>
      <c r="G1817" s="19">
        <v>45660</v>
      </c>
      <c r="H1817">
        <v>11.579251831855</v>
      </c>
    </row>
    <row r="1818" spans="1:8" x14ac:dyDescent="0.25">
      <c r="A1818" t="s">
        <v>256</v>
      </c>
      <c r="B1818" t="s">
        <v>385</v>
      </c>
      <c r="C1818">
        <v>4</v>
      </c>
      <c r="D1818">
        <v>4599.7</v>
      </c>
      <c r="E1818" s="19">
        <v>45607</v>
      </c>
      <c r="F1818">
        <v>4265.25</v>
      </c>
      <c r="G1818" s="19">
        <v>45610</v>
      </c>
      <c r="H1818">
        <v>-7.2711263778072448</v>
      </c>
    </row>
    <row r="1819" spans="1:8" x14ac:dyDescent="0.25">
      <c r="A1819" t="s">
        <v>256</v>
      </c>
      <c r="B1819" t="s">
        <v>383</v>
      </c>
      <c r="C1819">
        <v>8</v>
      </c>
      <c r="D1819">
        <v>4410.95</v>
      </c>
      <c r="E1819" s="19">
        <v>45594</v>
      </c>
      <c r="F1819">
        <v>4694.5</v>
      </c>
      <c r="G1819" s="19">
        <v>45603</v>
      </c>
      <c r="H1819">
        <v>-6.4283204298393821</v>
      </c>
    </row>
    <row r="1820" spans="1:8" x14ac:dyDescent="0.25">
      <c r="A1820" t="s">
        <v>256</v>
      </c>
      <c r="B1820" t="s">
        <v>385</v>
      </c>
      <c r="C1820">
        <v>87</v>
      </c>
      <c r="D1820">
        <v>3803.1</v>
      </c>
      <c r="E1820" s="19">
        <v>45467</v>
      </c>
      <c r="F1820">
        <v>4327.6499999999996</v>
      </c>
      <c r="G1820" s="19">
        <v>45590</v>
      </c>
      <c r="H1820">
        <v>13.792695432673341</v>
      </c>
    </row>
    <row r="1821" spans="1:8" x14ac:dyDescent="0.25">
      <c r="A1821" t="s">
        <v>256</v>
      </c>
      <c r="B1821" t="s">
        <v>383</v>
      </c>
      <c r="C1821">
        <v>30</v>
      </c>
      <c r="D1821">
        <v>3517.15</v>
      </c>
      <c r="E1821" s="19">
        <v>45421</v>
      </c>
      <c r="F1821">
        <v>3774.95</v>
      </c>
      <c r="G1821" s="19">
        <v>45463</v>
      </c>
      <c r="H1821">
        <v>-7.3297982741708401</v>
      </c>
    </row>
    <row r="1822" spans="1:8" x14ac:dyDescent="0.25">
      <c r="A1822" t="s">
        <v>256</v>
      </c>
      <c r="B1822" t="s">
        <v>385</v>
      </c>
      <c r="C1822">
        <v>50</v>
      </c>
      <c r="D1822">
        <v>3683</v>
      </c>
      <c r="E1822" s="19">
        <v>45343</v>
      </c>
      <c r="F1822">
        <v>3507.5</v>
      </c>
      <c r="G1822" s="19">
        <v>45419</v>
      </c>
      <c r="H1822">
        <v>-4.7651371164811298</v>
      </c>
    </row>
    <row r="1823" spans="1:8" x14ac:dyDescent="0.25">
      <c r="A1823" t="s">
        <v>256</v>
      </c>
      <c r="B1823" t="s">
        <v>383</v>
      </c>
      <c r="C1823">
        <v>42</v>
      </c>
      <c r="D1823">
        <v>3370.55</v>
      </c>
      <c r="E1823" s="19">
        <v>45280</v>
      </c>
      <c r="F1823">
        <v>3667.95</v>
      </c>
      <c r="G1823" s="19">
        <v>45341</v>
      </c>
      <c r="H1823">
        <v>-8.8234857812523071</v>
      </c>
    </row>
    <row r="1824" spans="1:8" x14ac:dyDescent="0.25">
      <c r="A1824" t="s">
        <v>256</v>
      </c>
      <c r="B1824" t="s">
        <v>385</v>
      </c>
      <c r="C1824">
        <v>23</v>
      </c>
      <c r="D1824">
        <v>3716.8</v>
      </c>
      <c r="E1824" s="19">
        <v>45245</v>
      </c>
      <c r="F1824">
        <v>3414.8</v>
      </c>
      <c r="G1824" s="19">
        <v>45278</v>
      </c>
      <c r="H1824">
        <v>-8.1252690486439949</v>
      </c>
    </row>
    <row r="1825" spans="1:8" x14ac:dyDescent="0.25">
      <c r="A1825" t="s">
        <v>256</v>
      </c>
      <c r="B1825" t="s">
        <v>383</v>
      </c>
      <c r="C1825">
        <v>46</v>
      </c>
      <c r="D1825">
        <v>3615.2</v>
      </c>
      <c r="E1825" s="19">
        <v>45175</v>
      </c>
      <c r="F1825">
        <v>3716.9</v>
      </c>
      <c r="G1825" s="19">
        <v>45242</v>
      </c>
      <c r="H1825">
        <v>-2.8131223722062479</v>
      </c>
    </row>
    <row r="1826" spans="1:8" x14ac:dyDescent="0.25">
      <c r="A1826" t="s">
        <v>256</v>
      </c>
      <c r="B1826" t="s">
        <v>385</v>
      </c>
      <c r="C1826">
        <v>88</v>
      </c>
      <c r="D1826">
        <v>3404.1</v>
      </c>
      <c r="E1826" s="19">
        <v>45048</v>
      </c>
      <c r="F1826">
        <v>3629.8</v>
      </c>
      <c r="G1826" s="19">
        <v>45173</v>
      </c>
      <c r="H1826">
        <v>6.630240004700223</v>
      </c>
    </row>
    <row r="1827" spans="1:8" x14ac:dyDescent="0.25">
      <c r="A1827" t="s">
        <v>257</v>
      </c>
      <c r="B1827" t="s">
        <v>383</v>
      </c>
      <c r="C1827">
        <v>1</v>
      </c>
      <c r="D1827">
        <v>47.82</v>
      </c>
      <c r="E1827" s="19">
        <v>45660</v>
      </c>
      <c r="F1827">
        <v>47.82</v>
      </c>
      <c r="G1827" s="19">
        <v>45660</v>
      </c>
      <c r="H1827">
        <v>0</v>
      </c>
    </row>
    <row r="1828" spans="1:8" x14ac:dyDescent="0.25">
      <c r="A1828" t="s">
        <v>257</v>
      </c>
      <c r="B1828" t="s">
        <v>385</v>
      </c>
      <c r="C1828">
        <v>18</v>
      </c>
      <c r="D1828">
        <v>61.53</v>
      </c>
      <c r="E1828" s="19">
        <v>45632</v>
      </c>
      <c r="F1828">
        <v>49.47</v>
      </c>
      <c r="G1828" s="19">
        <v>45658</v>
      </c>
      <c r="H1828">
        <v>-19.600195026816191</v>
      </c>
    </row>
    <row r="1829" spans="1:8" x14ac:dyDescent="0.25">
      <c r="A1829" t="s">
        <v>257</v>
      </c>
      <c r="B1829" t="s">
        <v>383</v>
      </c>
      <c r="C1829">
        <v>85</v>
      </c>
      <c r="D1829">
        <v>66.150000000000006</v>
      </c>
      <c r="E1829" s="19">
        <v>45506</v>
      </c>
      <c r="F1829">
        <v>60.27</v>
      </c>
      <c r="G1829" s="19">
        <v>45630</v>
      </c>
      <c r="H1829">
        <v>8.8888888888888928</v>
      </c>
    </row>
    <row r="1830" spans="1:8" x14ac:dyDescent="0.25">
      <c r="A1830" t="s">
        <v>257</v>
      </c>
      <c r="B1830" t="s">
        <v>385</v>
      </c>
      <c r="C1830">
        <v>28</v>
      </c>
      <c r="D1830">
        <v>73.97</v>
      </c>
      <c r="E1830" s="19">
        <v>45464</v>
      </c>
      <c r="F1830">
        <v>67.88</v>
      </c>
      <c r="G1830" s="19">
        <v>45504</v>
      </c>
      <c r="H1830">
        <v>-8.2330674597809974</v>
      </c>
    </row>
    <row r="1831" spans="1:8" x14ac:dyDescent="0.25">
      <c r="A1831" t="s">
        <v>257</v>
      </c>
      <c r="B1831" t="s">
        <v>383</v>
      </c>
      <c r="C1831">
        <v>29</v>
      </c>
      <c r="D1831">
        <v>61.65</v>
      </c>
      <c r="E1831" s="19">
        <v>45421</v>
      </c>
      <c r="F1831">
        <v>71.819999999999993</v>
      </c>
      <c r="G1831" s="19">
        <v>45462</v>
      </c>
      <c r="H1831">
        <v>-16.49635036496349</v>
      </c>
    </row>
    <row r="1832" spans="1:8" x14ac:dyDescent="0.25">
      <c r="A1832" t="s">
        <v>257</v>
      </c>
      <c r="B1832" t="s">
        <v>385</v>
      </c>
      <c r="C1832">
        <v>189</v>
      </c>
      <c r="D1832">
        <v>31.85</v>
      </c>
      <c r="E1832" s="19">
        <v>45139</v>
      </c>
      <c r="F1832">
        <v>62.9</v>
      </c>
      <c r="G1832" s="19">
        <v>45419</v>
      </c>
      <c r="H1832">
        <v>97.488226059654608</v>
      </c>
    </row>
    <row r="1833" spans="1:8" x14ac:dyDescent="0.25">
      <c r="A1833" t="s">
        <v>257</v>
      </c>
      <c r="B1833" t="s">
        <v>383</v>
      </c>
      <c r="C1833">
        <v>147</v>
      </c>
      <c r="D1833">
        <v>37.729999999999997</v>
      </c>
      <c r="E1833" s="19">
        <v>44921</v>
      </c>
      <c r="F1833">
        <v>27.58</v>
      </c>
      <c r="G1833" s="19">
        <v>45135</v>
      </c>
      <c r="H1833">
        <v>26.901669758812609</v>
      </c>
    </row>
    <row r="1834" spans="1:8" x14ac:dyDescent="0.25">
      <c r="A1834" t="s">
        <v>258</v>
      </c>
      <c r="B1834" t="s">
        <v>385</v>
      </c>
      <c r="C1834">
        <v>15</v>
      </c>
      <c r="D1834">
        <v>407.2</v>
      </c>
      <c r="E1834" s="19">
        <v>45639</v>
      </c>
      <c r="F1834">
        <v>375.75</v>
      </c>
      <c r="G1834" s="19">
        <v>45660</v>
      </c>
      <c r="H1834">
        <v>-7.7234774066797618</v>
      </c>
    </row>
    <row r="1835" spans="1:8" x14ac:dyDescent="0.25">
      <c r="A1835" t="s">
        <v>258</v>
      </c>
      <c r="B1835" t="s">
        <v>383</v>
      </c>
      <c r="C1835">
        <v>52</v>
      </c>
      <c r="D1835">
        <v>400.2</v>
      </c>
      <c r="E1835" s="19">
        <v>45561</v>
      </c>
      <c r="F1835">
        <v>399.95</v>
      </c>
      <c r="G1835" s="19">
        <v>45637</v>
      </c>
      <c r="H1835">
        <v>6.2468765617191398E-2</v>
      </c>
    </row>
    <row r="1836" spans="1:8" x14ac:dyDescent="0.25">
      <c r="A1836" t="s">
        <v>258</v>
      </c>
      <c r="B1836" t="s">
        <v>385</v>
      </c>
      <c r="C1836">
        <v>87</v>
      </c>
      <c r="D1836">
        <v>352.95</v>
      </c>
      <c r="E1836" s="19">
        <v>45434</v>
      </c>
      <c r="F1836">
        <v>402.05</v>
      </c>
      <c r="G1836" s="19">
        <v>45559</v>
      </c>
      <c r="H1836">
        <v>13.91131888369458</v>
      </c>
    </row>
    <row r="1837" spans="1:8" x14ac:dyDescent="0.25">
      <c r="A1837" t="s">
        <v>258</v>
      </c>
      <c r="B1837" t="s">
        <v>383</v>
      </c>
      <c r="C1837">
        <v>6</v>
      </c>
      <c r="D1837">
        <v>326.45</v>
      </c>
      <c r="E1837" s="19">
        <v>45425</v>
      </c>
      <c r="F1837">
        <v>340.45</v>
      </c>
      <c r="G1837" s="19">
        <v>45430</v>
      </c>
      <c r="H1837">
        <v>-4.2885587379384287</v>
      </c>
    </row>
    <row r="1838" spans="1:8" x14ac:dyDescent="0.25">
      <c r="A1838" t="s">
        <v>258</v>
      </c>
      <c r="B1838" t="s">
        <v>385</v>
      </c>
      <c r="C1838">
        <v>12</v>
      </c>
      <c r="D1838">
        <v>340.15</v>
      </c>
      <c r="E1838" s="19">
        <v>45405</v>
      </c>
      <c r="F1838">
        <v>326.05</v>
      </c>
      <c r="G1838" s="19">
        <v>45421</v>
      </c>
      <c r="H1838">
        <v>-4.1452300455681224</v>
      </c>
    </row>
    <row r="1839" spans="1:8" x14ac:dyDescent="0.25">
      <c r="A1839" t="s">
        <v>258</v>
      </c>
      <c r="B1839" t="s">
        <v>383</v>
      </c>
      <c r="C1839">
        <v>3</v>
      </c>
      <c r="D1839">
        <v>333.6</v>
      </c>
      <c r="E1839" s="19">
        <v>45398</v>
      </c>
      <c r="F1839">
        <v>338.1</v>
      </c>
      <c r="G1839" s="19">
        <v>45401</v>
      </c>
      <c r="H1839">
        <v>-1.348920863309353</v>
      </c>
    </row>
    <row r="1840" spans="1:8" x14ac:dyDescent="0.25">
      <c r="A1840" t="s">
        <v>258</v>
      </c>
      <c r="B1840" t="s">
        <v>385</v>
      </c>
      <c r="C1840">
        <v>6</v>
      </c>
      <c r="D1840">
        <v>344.05</v>
      </c>
      <c r="E1840" s="19">
        <v>45386</v>
      </c>
      <c r="F1840">
        <v>329.35</v>
      </c>
      <c r="G1840" s="19">
        <v>45394</v>
      </c>
      <c r="H1840">
        <v>-4.2726347914547267</v>
      </c>
    </row>
    <row r="1841" spans="1:8" x14ac:dyDescent="0.25">
      <c r="A1841" t="s">
        <v>258</v>
      </c>
      <c r="B1841" t="s">
        <v>383</v>
      </c>
      <c r="C1841">
        <v>9</v>
      </c>
      <c r="D1841">
        <v>318.55</v>
      </c>
      <c r="E1841" s="19">
        <v>45370</v>
      </c>
      <c r="F1841">
        <v>353.55</v>
      </c>
      <c r="G1841" s="19">
        <v>45384</v>
      </c>
      <c r="H1841">
        <v>-10.98728614032334</v>
      </c>
    </row>
    <row r="1842" spans="1:8" x14ac:dyDescent="0.25">
      <c r="A1842" t="s">
        <v>258</v>
      </c>
      <c r="B1842" t="s">
        <v>385</v>
      </c>
      <c r="C1842">
        <v>18</v>
      </c>
      <c r="D1842">
        <v>346.55</v>
      </c>
      <c r="E1842" s="19">
        <v>45343</v>
      </c>
      <c r="F1842">
        <v>324.95</v>
      </c>
      <c r="G1842" s="19">
        <v>45366</v>
      </c>
      <c r="H1842">
        <v>-6.2328668301832408</v>
      </c>
    </row>
    <row r="1843" spans="1:8" x14ac:dyDescent="0.25">
      <c r="A1843" t="s">
        <v>258</v>
      </c>
      <c r="B1843" t="s">
        <v>383</v>
      </c>
      <c r="C1843">
        <v>5</v>
      </c>
      <c r="D1843">
        <v>313.75</v>
      </c>
      <c r="E1843" s="19">
        <v>45335</v>
      </c>
      <c r="F1843">
        <v>329.95</v>
      </c>
      <c r="G1843" s="19">
        <v>45341</v>
      </c>
      <c r="H1843">
        <v>-5.163346613545813</v>
      </c>
    </row>
    <row r="1844" spans="1:8" x14ac:dyDescent="0.25">
      <c r="A1844" t="s">
        <v>258</v>
      </c>
      <c r="B1844" t="s">
        <v>385</v>
      </c>
      <c r="C1844">
        <v>46</v>
      </c>
      <c r="D1844">
        <v>344.35</v>
      </c>
      <c r="E1844" s="19">
        <v>45266</v>
      </c>
      <c r="F1844">
        <v>318.95</v>
      </c>
      <c r="G1844" s="19">
        <v>45331</v>
      </c>
      <c r="H1844">
        <v>-7.3762160592420596</v>
      </c>
    </row>
    <row r="1845" spans="1:8" x14ac:dyDescent="0.25">
      <c r="A1845" t="s">
        <v>258</v>
      </c>
      <c r="B1845" t="s">
        <v>383</v>
      </c>
      <c r="C1845">
        <v>11</v>
      </c>
      <c r="D1845">
        <v>305.95</v>
      </c>
      <c r="E1845" s="19">
        <v>45247</v>
      </c>
      <c r="F1845">
        <v>311.89999999999998</v>
      </c>
      <c r="G1845" s="19">
        <v>45264</v>
      </c>
      <c r="H1845">
        <v>-1.94476221604837</v>
      </c>
    </row>
    <row r="1846" spans="1:8" x14ac:dyDescent="0.25">
      <c r="A1846" t="s">
        <v>258</v>
      </c>
      <c r="B1846" t="s">
        <v>385</v>
      </c>
      <c r="C1846">
        <v>53</v>
      </c>
      <c r="D1846">
        <v>336.15</v>
      </c>
      <c r="E1846" s="19">
        <v>45168</v>
      </c>
      <c r="F1846">
        <v>313.39999999999998</v>
      </c>
      <c r="G1846" s="19">
        <v>45245</v>
      </c>
      <c r="H1846">
        <v>-6.7678119886955228</v>
      </c>
    </row>
    <row r="1847" spans="1:8" x14ac:dyDescent="0.25">
      <c r="A1847" t="s">
        <v>258</v>
      </c>
      <c r="B1847" t="s">
        <v>383</v>
      </c>
      <c r="C1847">
        <v>19</v>
      </c>
      <c r="D1847">
        <v>288.45</v>
      </c>
      <c r="E1847" s="19">
        <v>45139</v>
      </c>
      <c r="F1847">
        <v>321.10000000000002</v>
      </c>
      <c r="G1847" s="19">
        <v>45166</v>
      </c>
      <c r="H1847">
        <v>-11.319119431443941</v>
      </c>
    </row>
    <row r="1848" spans="1:8" x14ac:dyDescent="0.25">
      <c r="A1848" t="s">
        <v>258</v>
      </c>
      <c r="B1848" t="s">
        <v>385</v>
      </c>
      <c r="C1848">
        <v>1</v>
      </c>
      <c r="D1848">
        <v>291.3</v>
      </c>
      <c r="E1848" s="19">
        <v>45135</v>
      </c>
      <c r="F1848">
        <v>291.3</v>
      </c>
      <c r="G1848" s="19">
        <v>45135</v>
      </c>
      <c r="H1848">
        <v>0</v>
      </c>
    </row>
    <row r="1849" spans="1:8" x14ac:dyDescent="0.25">
      <c r="A1849" t="s">
        <v>258</v>
      </c>
      <c r="B1849" t="s">
        <v>383</v>
      </c>
      <c r="C1849">
        <v>2</v>
      </c>
      <c r="D1849">
        <v>295</v>
      </c>
      <c r="E1849" s="19">
        <v>45132</v>
      </c>
      <c r="F1849">
        <v>305</v>
      </c>
      <c r="G1849" s="19">
        <v>45133</v>
      </c>
      <c r="H1849">
        <v>-3.3898305084745761</v>
      </c>
    </row>
    <row r="1850" spans="1:8" x14ac:dyDescent="0.25">
      <c r="A1850" t="s">
        <v>258</v>
      </c>
      <c r="B1850" t="s">
        <v>385</v>
      </c>
      <c r="C1850">
        <v>13</v>
      </c>
      <c r="D1850">
        <v>305</v>
      </c>
      <c r="E1850" s="19">
        <v>45112</v>
      </c>
      <c r="F1850">
        <v>293.39999999999998</v>
      </c>
      <c r="G1850" s="19">
        <v>45128</v>
      </c>
      <c r="H1850">
        <v>-3.8032786885245971</v>
      </c>
    </row>
    <row r="1851" spans="1:8" x14ac:dyDescent="0.25">
      <c r="A1851" t="s">
        <v>258</v>
      </c>
      <c r="B1851" t="s">
        <v>383</v>
      </c>
      <c r="C1851">
        <v>105</v>
      </c>
      <c r="D1851">
        <v>313.8</v>
      </c>
      <c r="E1851" s="19">
        <v>44953</v>
      </c>
      <c r="F1851">
        <v>305.60000000000002</v>
      </c>
      <c r="G1851" s="19">
        <v>45110</v>
      </c>
      <c r="H1851">
        <v>2.613129381771826</v>
      </c>
    </row>
    <row r="1852" spans="1:8" x14ac:dyDescent="0.25">
      <c r="A1852" t="s">
        <v>259</v>
      </c>
      <c r="B1852" t="s">
        <v>385</v>
      </c>
      <c r="C1852">
        <v>6</v>
      </c>
      <c r="D1852">
        <v>340.65</v>
      </c>
      <c r="E1852" s="19">
        <v>45653</v>
      </c>
      <c r="F1852">
        <v>329.45</v>
      </c>
      <c r="G1852" s="19">
        <v>45660</v>
      </c>
      <c r="H1852">
        <v>-3.2878320857184762</v>
      </c>
    </row>
    <row r="1853" spans="1:8" x14ac:dyDescent="0.25">
      <c r="A1853" t="s">
        <v>259</v>
      </c>
      <c r="B1853" t="s">
        <v>383</v>
      </c>
      <c r="C1853">
        <v>41</v>
      </c>
      <c r="D1853">
        <v>337.55</v>
      </c>
      <c r="E1853" s="19">
        <v>45590</v>
      </c>
      <c r="F1853">
        <v>340.75</v>
      </c>
      <c r="G1853" s="19">
        <v>45650</v>
      </c>
      <c r="H1853">
        <v>-0.94800770256258005</v>
      </c>
    </row>
    <row r="1854" spans="1:8" x14ac:dyDescent="0.25">
      <c r="A1854" t="s">
        <v>259</v>
      </c>
      <c r="B1854" t="s">
        <v>385</v>
      </c>
      <c r="C1854">
        <v>6</v>
      </c>
      <c r="D1854">
        <v>355</v>
      </c>
      <c r="E1854" s="19">
        <v>45581</v>
      </c>
      <c r="F1854">
        <v>345.05</v>
      </c>
      <c r="G1854" s="19">
        <v>45588</v>
      </c>
      <c r="H1854">
        <v>-2.802816901408447</v>
      </c>
    </row>
    <row r="1855" spans="1:8" x14ac:dyDescent="0.25">
      <c r="A1855" t="s">
        <v>259</v>
      </c>
      <c r="B1855" t="s">
        <v>383</v>
      </c>
      <c r="C1855">
        <v>18</v>
      </c>
      <c r="D1855">
        <v>332.5</v>
      </c>
      <c r="E1855" s="19">
        <v>45553</v>
      </c>
      <c r="F1855">
        <v>354.55</v>
      </c>
      <c r="G1855" s="19">
        <v>45579</v>
      </c>
      <c r="H1855">
        <v>-6.6315789473684248</v>
      </c>
    </row>
    <row r="1856" spans="1:8" x14ac:dyDescent="0.25">
      <c r="A1856" t="s">
        <v>259</v>
      </c>
      <c r="B1856" t="s">
        <v>385</v>
      </c>
      <c r="C1856">
        <v>179</v>
      </c>
      <c r="D1856">
        <v>222.4</v>
      </c>
      <c r="E1856" s="19">
        <v>45288</v>
      </c>
      <c r="F1856">
        <v>336.1</v>
      </c>
      <c r="G1856" s="19">
        <v>45551</v>
      </c>
      <c r="H1856">
        <v>51.124100719424469</v>
      </c>
    </row>
    <row r="1857" spans="1:8" x14ac:dyDescent="0.25">
      <c r="A1857" t="s">
        <v>259</v>
      </c>
      <c r="B1857" t="s">
        <v>383</v>
      </c>
      <c r="C1857">
        <v>43</v>
      </c>
      <c r="D1857">
        <v>220.4</v>
      </c>
      <c r="E1857" s="19">
        <v>45224</v>
      </c>
      <c r="F1857">
        <v>215.65</v>
      </c>
      <c r="G1857" s="19">
        <v>45286</v>
      </c>
      <c r="H1857">
        <v>2.1551724137931032</v>
      </c>
    </row>
    <row r="1858" spans="1:8" x14ac:dyDescent="0.25">
      <c r="A1858" t="s">
        <v>259</v>
      </c>
      <c r="B1858" t="s">
        <v>385</v>
      </c>
      <c r="C1858">
        <v>29</v>
      </c>
      <c r="D1858">
        <v>250.2</v>
      </c>
      <c r="E1858" s="19">
        <v>45177</v>
      </c>
      <c r="F1858">
        <v>226.05</v>
      </c>
      <c r="G1858" s="19">
        <v>45219</v>
      </c>
      <c r="H1858">
        <v>-9.6522781774580242</v>
      </c>
    </row>
    <row r="1859" spans="1:8" x14ac:dyDescent="0.25">
      <c r="A1859" t="s">
        <v>259</v>
      </c>
      <c r="B1859" t="s">
        <v>383</v>
      </c>
      <c r="C1859">
        <v>14</v>
      </c>
      <c r="D1859">
        <v>219</v>
      </c>
      <c r="E1859" s="19">
        <v>45156</v>
      </c>
      <c r="F1859">
        <v>244.9</v>
      </c>
      <c r="G1859" s="19">
        <v>45175</v>
      </c>
      <c r="H1859">
        <v>-11.826484018264839</v>
      </c>
    </row>
    <row r="1860" spans="1:8" x14ac:dyDescent="0.25">
      <c r="A1860" t="s">
        <v>259</v>
      </c>
      <c r="B1860" t="s">
        <v>385</v>
      </c>
      <c r="C1860">
        <v>11</v>
      </c>
      <c r="D1860">
        <v>233.15</v>
      </c>
      <c r="E1860" s="19">
        <v>45139</v>
      </c>
      <c r="F1860">
        <v>224.75</v>
      </c>
      <c r="G1860" s="19">
        <v>45154</v>
      </c>
      <c r="H1860">
        <v>-3.602830795625136</v>
      </c>
    </row>
    <row r="1861" spans="1:8" x14ac:dyDescent="0.25">
      <c r="A1861" t="s">
        <v>259</v>
      </c>
      <c r="B1861" t="s">
        <v>383</v>
      </c>
      <c r="C1861">
        <v>4</v>
      </c>
      <c r="D1861">
        <v>225.8</v>
      </c>
      <c r="E1861" s="19">
        <v>45132</v>
      </c>
      <c r="F1861">
        <v>228.5</v>
      </c>
      <c r="G1861" s="19">
        <v>45135</v>
      </c>
      <c r="H1861">
        <v>-1.1957484499557081</v>
      </c>
    </row>
    <row r="1862" spans="1:8" x14ac:dyDescent="0.25">
      <c r="A1862" t="s">
        <v>259</v>
      </c>
      <c r="B1862" t="s">
        <v>385</v>
      </c>
      <c r="C1862">
        <v>7</v>
      </c>
      <c r="D1862">
        <v>224.35</v>
      </c>
      <c r="E1862" s="19">
        <v>45120</v>
      </c>
      <c r="F1862">
        <v>223.5</v>
      </c>
      <c r="G1862" s="19">
        <v>45128</v>
      </c>
      <c r="H1862">
        <v>-0.37887229774905029</v>
      </c>
    </row>
    <row r="1863" spans="1:8" x14ac:dyDescent="0.25">
      <c r="A1863" t="s">
        <v>259</v>
      </c>
      <c r="B1863" t="s">
        <v>383</v>
      </c>
      <c r="C1863">
        <v>34</v>
      </c>
      <c r="D1863">
        <v>225.15</v>
      </c>
      <c r="E1863" s="19">
        <v>45070</v>
      </c>
      <c r="F1863">
        <v>230.15</v>
      </c>
      <c r="G1863" s="19">
        <v>45118</v>
      </c>
      <c r="H1863">
        <v>-2.2207417277370638</v>
      </c>
    </row>
    <row r="1864" spans="1:8" x14ac:dyDescent="0.25">
      <c r="A1864" t="s">
        <v>259</v>
      </c>
      <c r="B1864" t="s">
        <v>385</v>
      </c>
      <c r="C1864">
        <v>128</v>
      </c>
      <c r="D1864">
        <v>213.9</v>
      </c>
      <c r="E1864" s="19">
        <v>44880</v>
      </c>
      <c r="F1864">
        <v>226.05</v>
      </c>
      <c r="G1864" s="19">
        <v>45068</v>
      </c>
      <c r="H1864">
        <v>5.6802244039270713</v>
      </c>
    </row>
    <row r="1865" spans="1:8" x14ac:dyDescent="0.25">
      <c r="A1865" t="s">
        <v>260</v>
      </c>
      <c r="B1865" t="s">
        <v>383</v>
      </c>
      <c r="C1865">
        <v>49</v>
      </c>
      <c r="D1865">
        <v>5360.7</v>
      </c>
      <c r="E1865" s="19">
        <v>45589</v>
      </c>
      <c r="F1865">
        <v>5223.3500000000004</v>
      </c>
      <c r="G1865" s="19">
        <v>45660</v>
      </c>
      <c r="H1865">
        <v>2.5621653888484608</v>
      </c>
    </row>
    <row r="1866" spans="1:8" x14ac:dyDescent="0.25">
      <c r="A1866" t="s">
        <v>260</v>
      </c>
      <c r="B1866" t="s">
        <v>385</v>
      </c>
      <c r="C1866">
        <v>107</v>
      </c>
      <c r="D1866">
        <v>4382.55</v>
      </c>
      <c r="E1866" s="19">
        <v>45433</v>
      </c>
      <c r="F1866">
        <v>5503.6</v>
      </c>
      <c r="G1866" s="19">
        <v>45587</v>
      </c>
      <c r="H1866">
        <v>25.579856476252409</v>
      </c>
    </row>
    <row r="1867" spans="1:8" x14ac:dyDescent="0.25">
      <c r="A1867" t="s">
        <v>260</v>
      </c>
      <c r="B1867" t="s">
        <v>383</v>
      </c>
      <c r="C1867">
        <v>34</v>
      </c>
      <c r="D1867">
        <v>4204.3500000000004</v>
      </c>
      <c r="E1867" s="19">
        <v>45378</v>
      </c>
      <c r="F1867">
        <v>4400.55</v>
      </c>
      <c r="G1867" s="19">
        <v>45429</v>
      </c>
      <c r="H1867">
        <v>-4.6665953119982824</v>
      </c>
    </row>
    <row r="1868" spans="1:8" x14ac:dyDescent="0.25">
      <c r="A1868" t="s">
        <v>260</v>
      </c>
      <c r="B1868" t="s">
        <v>385</v>
      </c>
      <c r="C1868">
        <v>117</v>
      </c>
      <c r="D1868">
        <v>3989.1</v>
      </c>
      <c r="E1868" s="19">
        <v>45205</v>
      </c>
      <c r="F1868">
        <v>4348.8999999999996</v>
      </c>
      <c r="G1868" s="19">
        <v>45373</v>
      </c>
      <c r="H1868">
        <v>9.0195783510064871</v>
      </c>
    </row>
    <row r="1869" spans="1:8" x14ac:dyDescent="0.25">
      <c r="A1869" t="s">
        <v>260</v>
      </c>
      <c r="B1869" t="s">
        <v>383</v>
      </c>
      <c r="C1869">
        <v>21</v>
      </c>
      <c r="D1869">
        <v>3857.85</v>
      </c>
      <c r="E1869" s="19">
        <v>45173</v>
      </c>
      <c r="F1869">
        <v>3920</v>
      </c>
      <c r="G1869" s="19">
        <v>45203</v>
      </c>
      <c r="H1869">
        <v>-1.6110009461228429</v>
      </c>
    </row>
    <row r="1870" spans="1:8" x14ac:dyDescent="0.25">
      <c r="A1870" t="s">
        <v>260</v>
      </c>
      <c r="B1870" t="s">
        <v>385</v>
      </c>
      <c r="C1870">
        <v>30</v>
      </c>
      <c r="D1870">
        <v>3895.05</v>
      </c>
      <c r="E1870" s="19">
        <v>45127</v>
      </c>
      <c r="F1870">
        <v>3823</v>
      </c>
      <c r="G1870" s="19">
        <v>45169</v>
      </c>
      <c r="H1870">
        <v>-1.8497836998241399</v>
      </c>
    </row>
    <row r="1871" spans="1:8" x14ac:dyDescent="0.25">
      <c r="A1871" t="s">
        <v>260</v>
      </c>
      <c r="B1871" t="s">
        <v>383</v>
      </c>
      <c r="C1871">
        <v>8</v>
      </c>
      <c r="D1871">
        <v>3800</v>
      </c>
      <c r="E1871" s="19">
        <v>45114</v>
      </c>
      <c r="F1871">
        <v>3852</v>
      </c>
      <c r="G1871" s="19">
        <v>45125</v>
      </c>
      <c r="H1871">
        <v>-1.368421052631579</v>
      </c>
    </row>
    <row r="1872" spans="1:8" x14ac:dyDescent="0.25">
      <c r="A1872" t="s">
        <v>260</v>
      </c>
      <c r="B1872" t="s">
        <v>385</v>
      </c>
      <c r="C1872">
        <v>36</v>
      </c>
      <c r="D1872">
        <v>3817.35</v>
      </c>
      <c r="E1872" s="19">
        <v>45062</v>
      </c>
      <c r="F1872">
        <v>3787</v>
      </c>
      <c r="G1872" s="19">
        <v>45112</v>
      </c>
      <c r="H1872">
        <v>-0.79505416060879697</v>
      </c>
    </row>
    <row r="1873" spans="1:8" x14ac:dyDescent="0.25">
      <c r="A1873" t="s">
        <v>261</v>
      </c>
      <c r="B1873" t="s">
        <v>385</v>
      </c>
      <c r="C1873">
        <v>175</v>
      </c>
      <c r="D1873">
        <v>200.46</v>
      </c>
      <c r="E1873" s="19">
        <v>45406</v>
      </c>
      <c r="F1873">
        <v>1016.65</v>
      </c>
      <c r="G1873" s="19">
        <v>45660</v>
      </c>
      <c r="H1873">
        <v>407.15853536865211</v>
      </c>
    </row>
    <row r="1874" spans="1:8" x14ac:dyDescent="0.25">
      <c r="A1874" t="s">
        <v>261</v>
      </c>
      <c r="B1874" t="s">
        <v>383</v>
      </c>
      <c r="C1874">
        <v>63</v>
      </c>
      <c r="D1874">
        <v>209.95</v>
      </c>
      <c r="E1874" s="19">
        <v>45309</v>
      </c>
      <c r="F1874">
        <v>193.37</v>
      </c>
      <c r="G1874" s="19">
        <v>45404</v>
      </c>
      <c r="H1874">
        <v>7.8971183615146394</v>
      </c>
    </row>
    <row r="1875" spans="1:8" x14ac:dyDescent="0.25">
      <c r="A1875" t="s">
        <v>261</v>
      </c>
      <c r="B1875" t="s">
        <v>385</v>
      </c>
      <c r="C1875">
        <v>108</v>
      </c>
      <c r="D1875">
        <v>167.2</v>
      </c>
      <c r="E1875" s="19">
        <v>45148</v>
      </c>
      <c r="F1875">
        <v>207.03</v>
      </c>
      <c r="G1875" s="19">
        <v>45307</v>
      </c>
      <c r="H1875">
        <v>23.821770334928239</v>
      </c>
    </row>
    <row r="1876" spans="1:8" x14ac:dyDescent="0.25">
      <c r="A1876" t="s">
        <v>261</v>
      </c>
      <c r="B1876" t="s">
        <v>383</v>
      </c>
      <c r="C1876">
        <v>10</v>
      </c>
      <c r="D1876">
        <v>146.5</v>
      </c>
      <c r="E1876" s="19">
        <v>45133</v>
      </c>
      <c r="F1876">
        <v>165.5</v>
      </c>
      <c r="G1876" s="19">
        <v>45146</v>
      </c>
      <c r="H1876">
        <v>-12.969283276450509</v>
      </c>
    </row>
    <row r="1877" spans="1:8" x14ac:dyDescent="0.25">
      <c r="A1877" t="s">
        <v>261</v>
      </c>
      <c r="B1877" t="s">
        <v>385</v>
      </c>
      <c r="C1877">
        <v>152</v>
      </c>
      <c r="D1877">
        <v>105.79</v>
      </c>
      <c r="E1877" s="19">
        <v>44908</v>
      </c>
      <c r="F1877">
        <v>148.72</v>
      </c>
      <c r="G1877" s="19">
        <v>45131</v>
      </c>
      <c r="H1877">
        <v>40.580395122412313</v>
      </c>
    </row>
    <row r="1878" spans="1:8" x14ac:dyDescent="0.25">
      <c r="A1878" t="s">
        <v>262</v>
      </c>
      <c r="B1878" t="s">
        <v>385</v>
      </c>
      <c r="C1878">
        <v>21</v>
      </c>
      <c r="D1878">
        <v>1805</v>
      </c>
      <c r="E1878" s="19">
        <v>45631</v>
      </c>
      <c r="F1878">
        <v>1574.4</v>
      </c>
      <c r="G1878" s="19">
        <v>45660</v>
      </c>
      <c r="H1878">
        <v>-12.775623268698061</v>
      </c>
    </row>
    <row r="1879" spans="1:8" x14ac:dyDescent="0.25">
      <c r="A1879" t="s">
        <v>262</v>
      </c>
      <c r="B1879" t="s">
        <v>383</v>
      </c>
      <c r="C1879">
        <v>40</v>
      </c>
      <c r="D1879">
        <v>1673.75</v>
      </c>
      <c r="E1879" s="19">
        <v>45572</v>
      </c>
      <c r="F1879">
        <v>1745.5</v>
      </c>
      <c r="G1879" s="19">
        <v>45629</v>
      </c>
      <c r="H1879">
        <v>-4.2867811799850637</v>
      </c>
    </row>
    <row r="1880" spans="1:8" x14ac:dyDescent="0.25">
      <c r="A1880" t="s">
        <v>262</v>
      </c>
      <c r="B1880" t="s">
        <v>385</v>
      </c>
      <c r="C1880">
        <v>5</v>
      </c>
      <c r="D1880">
        <v>1813.1</v>
      </c>
      <c r="E1880" s="19">
        <v>45561</v>
      </c>
      <c r="F1880">
        <v>1658.55</v>
      </c>
      <c r="G1880" s="19">
        <v>45568</v>
      </c>
      <c r="H1880">
        <v>-8.5240747890353514</v>
      </c>
    </row>
    <row r="1881" spans="1:8" x14ac:dyDescent="0.25">
      <c r="A1881" t="s">
        <v>262</v>
      </c>
      <c r="B1881" t="s">
        <v>383</v>
      </c>
      <c r="C1881">
        <v>7</v>
      </c>
      <c r="D1881">
        <v>1766.13</v>
      </c>
      <c r="E1881" s="19">
        <v>45551</v>
      </c>
      <c r="F1881">
        <v>1820.35</v>
      </c>
      <c r="G1881" s="19">
        <v>45559</v>
      </c>
      <c r="H1881">
        <v>-3.069989185394042</v>
      </c>
    </row>
    <row r="1882" spans="1:8" x14ac:dyDescent="0.25">
      <c r="A1882" t="s">
        <v>262</v>
      </c>
      <c r="B1882" t="s">
        <v>385</v>
      </c>
      <c r="C1882">
        <v>10</v>
      </c>
      <c r="D1882">
        <v>1884.7</v>
      </c>
      <c r="E1882" s="19">
        <v>45534</v>
      </c>
      <c r="F1882">
        <v>1682.1</v>
      </c>
      <c r="G1882" s="19">
        <v>45547</v>
      </c>
      <c r="H1882">
        <v>-10.74972144107816</v>
      </c>
    </row>
    <row r="1883" spans="1:8" x14ac:dyDescent="0.25">
      <c r="A1883" t="s">
        <v>262</v>
      </c>
      <c r="B1883" t="s">
        <v>383</v>
      </c>
      <c r="C1883">
        <v>11</v>
      </c>
      <c r="D1883">
        <v>1714.35</v>
      </c>
      <c r="E1883" s="19">
        <v>45517</v>
      </c>
      <c r="F1883">
        <v>1839.08</v>
      </c>
      <c r="G1883" s="19">
        <v>45532</v>
      </c>
      <c r="H1883">
        <v>-7.2756438300230419</v>
      </c>
    </row>
    <row r="1884" spans="1:8" x14ac:dyDescent="0.25">
      <c r="A1884" t="s">
        <v>262</v>
      </c>
      <c r="B1884" t="s">
        <v>385</v>
      </c>
      <c r="C1884">
        <v>321</v>
      </c>
      <c r="D1884">
        <v>706.53</v>
      </c>
      <c r="E1884" s="19">
        <v>45043</v>
      </c>
      <c r="F1884">
        <v>1681.45</v>
      </c>
      <c r="G1884" s="19">
        <v>45513</v>
      </c>
      <c r="H1884">
        <v>137.98706353587249</v>
      </c>
    </row>
    <row r="1885" spans="1:8" x14ac:dyDescent="0.25">
      <c r="A1885" t="s">
        <v>263</v>
      </c>
      <c r="B1885" t="s">
        <v>385</v>
      </c>
      <c r="C1885">
        <v>41</v>
      </c>
      <c r="D1885">
        <v>1617.5</v>
      </c>
      <c r="E1885" s="19">
        <v>45601</v>
      </c>
      <c r="F1885">
        <v>2518.9499999999998</v>
      </c>
      <c r="G1885" s="19">
        <v>45660</v>
      </c>
      <c r="H1885">
        <v>55.731066460587321</v>
      </c>
    </row>
    <row r="1886" spans="1:8" x14ac:dyDescent="0.25">
      <c r="A1886" t="s">
        <v>263</v>
      </c>
      <c r="B1886" t="s">
        <v>383</v>
      </c>
      <c r="C1886">
        <v>6</v>
      </c>
      <c r="D1886">
        <v>1418.15</v>
      </c>
      <c r="E1886" s="19">
        <v>45590</v>
      </c>
      <c r="F1886">
        <v>1613.45</v>
      </c>
      <c r="G1886" s="19">
        <v>45597</v>
      </c>
      <c r="H1886">
        <v>-13.77146282128124</v>
      </c>
    </row>
    <row r="1887" spans="1:8" x14ac:dyDescent="0.25">
      <c r="A1887" t="s">
        <v>263</v>
      </c>
      <c r="B1887" t="s">
        <v>385</v>
      </c>
      <c r="C1887">
        <v>83</v>
      </c>
      <c r="D1887">
        <v>1403.4</v>
      </c>
      <c r="E1887" s="19">
        <v>45469</v>
      </c>
      <c r="F1887">
        <v>1470.05</v>
      </c>
      <c r="G1887" s="19">
        <v>45588</v>
      </c>
      <c r="H1887">
        <v>4.7491805614935059</v>
      </c>
    </row>
    <row r="1888" spans="1:8" x14ac:dyDescent="0.25">
      <c r="A1888" t="s">
        <v>263</v>
      </c>
      <c r="B1888" t="s">
        <v>383</v>
      </c>
      <c r="C1888">
        <v>18</v>
      </c>
      <c r="D1888">
        <v>1272.8499999999999</v>
      </c>
      <c r="E1888" s="19">
        <v>45441</v>
      </c>
      <c r="F1888">
        <v>1353.45</v>
      </c>
      <c r="G1888" s="19">
        <v>45467</v>
      </c>
      <c r="H1888">
        <v>-6.3322465333700073</v>
      </c>
    </row>
    <row r="1889" spans="1:8" x14ac:dyDescent="0.25">
      <c r="A1889" t="s">
        <v>263</v>
      </c>
      <c r="B1889" t="s">
        <v>385</v>
      </c>
      <c r="C1889">
        <v>2</v>
      </c>
      <c r="D1889">
        <v>1382.3</v>
      </c>
      <c r="E1889" s="19">
        <v>45436</v>
      </c>
      <c r="F1889">
        <v>1294.8</v>
      </c>
      <c r="G1889" s="19">
        <v>45439</v>
      </c>
      <c r="H1889">
        <v>-6.3300296607104114</v>
      </c>
    </row>
    <row r="1890" spans="1:8" x14ac:dyDescent="0.25">
      <c r="A1890" t="s">
        <v>263</v>
      </c>
      <c r="B1890" t="s">
        <v>383</v>
      </c>
      <c r="C1890">
        <v>8</v>
      </c>
      <c r="D1890">
        <v>1296.55</v>
      </c>
      <c r="E1890" s="19">
        <v>45425</v>
      </c>
      <c r="F1890">
        <v>1434.1</v>
      </c>
      <c r="G1890" s="19">
        <v>45434</v>
      </c>
      <c r="H1890">
        <v>-10.608923682079361</v>
      </c>
    </row>
    <row r="1891" spans="1:8" x14ac:dyDescent="0.25">
      <c r="A1891" t="s">
        <v>263</v>
      </c>
      <c r="B1891" t="s">
        <v>385</v>
      </c>
      <c r="C1891">
        <v>49</v>
      </c>
      <c r="D1891">
        <v>1449.75</v>
      </c>
      <c r="E1891" s="19">
        <v>45348</v>
      </c>
      <c r="F1891">
        <v>1302.25</v>
      </c>
      <c r="G1891" s="19">
        <v>45421</v>
      </c>
      <c r="H1891">
        <v>-10.174167959993101</v>
      </c>
    </row>
    <row r="1892" spans="1:8" x14ac:dyDescent="0.25">
      <c r="A1892" t="s">
        <v>263</v>
      </c>
      <c r="B1892" t="s">
        <v>383</v>
      </c>
      <c r="C1892">
        <v>23</v>
      </c>
      <c r="D1892">
        <v>1275.8499999999999</v>
      </c>
      <c r="E1892" s="19">
        <v>45311</v>
      </c>
      <c r="F1892">
        <v>1284.8499999999999</v>
      </c>
      <c r="G1892" s="19">
        <v>45344</v>
      </c>
      <c r="H1892">
        <v>-0.70541207822236163</v>
      </c>
    </row>
    <row r="1893" spans="1:8" x14ac:dyDescent="0.25">
      <c r="A1893" t="s">
        <v>263</v>
      </c>
      <c r="B1893" t="s">
        <v>385</v>
      </c>
      <c r="C1893">
        <v>44</v>
      </c>
      <c r="D1893">
        <v>1280.95</v>
      </c>
      <c r="E1893" s="19">
        <v>45246</v>
      </c>
      <c r="F1893">
        <v>1271.5</v>
      </c>
      <c r="G1893" s="19">
        <v>45309</v>
      </c>
      <c r="H1893">
        <v>-0.73773371325969361</v>
      </c>
    </row>
    <row r="1894" spans="1:8" x14ac:dyDescent="0.25">
      <c r="A1894" t="s">
        <v>263</v>
      </c>
      <c r="B1894" t="s">
        <v>383</v>
      </c>
      <c r="C1894">
        <v>10</v>
      </c>
      <c r="D1894">
        <v>1128.3499999999999</v>
      </c>
      <c r="E1894" s="19">
        <v>45231</v>
      </c>
      <c r="F1894">
        <v>1312.75</v>
      </c>
      <c r="G1894" s="19">
        <v>45243</v>
      </c>
      <c r="H1894">
        <v>-16.342446935791209</v>
      </c>
    </row>
    <row r="1895" spans="1:8" x14ac:dyDescent="0.25">
      <c r="A1895" t="s">
        <v>263</v>
      </c>
      <c r="B1895" t="s">
        <v>385</v>
      </c>
      <c r="C1895">
        <v>12</v>
      </c>
      <c r="D1895">
        <v>1221.3499999999999</v>
      </c>
      <c r="E1895" s="19">
        <v>45211</v>
      </c>
      <c r="F1895">
        <v>1096.55</v>
      </c>
      <c r="G1895" s="19">
        <v>45229</v>
      </c>
      <c r="H1895">
        <v>-10.218201170835551</v>
      </c>
    </row>
    <row r="1896" spans="1:8" x14ac:dyDescent="0.25">
      <c r="A1896" t="s">
        <v>263</v>
      </c>
      <c r="B1896" t="s">
        <v>383</v>
      </c>
      <c r="C1896">
        <v>16</v>
      </c>
      <c r="D1896">
        <v>1107.7</v>
      </c>
      <c r="E1896" s="19">
        <v>45184</v>
      </c>
      <c r="F1896">
        <v>1210.3</v>
      </c>
      <c r="G1896" s="19">
        <v>45209</v>
      </c>
      <c r="H1896">
        <v>-9.2624356775300072</v>
      </c>
    </row>
    <row r="1897" spans="1:8" x14ac:dyDescent="0.25">
      <c r="A1897" t="s">
        <v>263</v>
      </c>
      <c r="B1897" t="s">
        <v>385</v>
      </c>
      <c r="C1897">
        <v>107</v>
      </c>
      <c r="D1897">
        <v>821.2</v>
      </c>
      <c r="E1897" s="19">
        <v>45028</v>
      </c>
      <c r="F1897">
        <v>1105.8499999999999</v>
      </c>
      <c r="G1897" s="19">
        <v>45182</v>
      </c>
      <c r="H1897">
        <v>34.662688748173387</v>
      </c>
    </row>
    <row r="1898" spans="1:8" x14ac:dyDescent="0.25">
      <c r="A1898" t="s">
        <v>264</v>
      </c>
      <c r="B1898" t="s">
        <v>383</v>
      </c>
      <c r="C1898">
        <v>32</v>
      </c>
      <c r="D1898">
        <v>865.15</v>
      </c>
      <c r="E1898" s="19">
        <v>45615</v>
      </c>
      <c r="F1898">
        <v>926.65</v>
      </c>
      <c r="G1898" s="19">
        <v>45660</v>
      </c>
      <c r="H1898">
        <v>-7.1085938854533914</v>
      </c>
    </row>
    <row r="1899" spans="1:8" x14ac:dyDescent="0.25">
      <c r="A1899" t="s">
        <v>264</v>
      </c>
      <c r="B1899" t="s">
        <v>385</v>
      </c>
      <c r="C1899">
        <v>5</v>
      </c>
      <c r="D1899">
        <v>947.2</v>
      </c>
      <c r="E1899" s="19">
        <v>45604</v>
      </c>
      <c r="F1899">
        <v>904</v>
      </c>
      <c r="G1899" s="19">
        <v>45610</v>
      </c>
      <c r="H1899">
        <v>-4.5608108108108159</v>
      </c>
    </row>
    <row r="1900" spans="1:8" x14ac:dyDescent="0.25">
      <c r="A1900" t="s">
        <v>264</v>
      </c>
      <c r="B1900" t="s">
        <v>383</v>
      </c>
      <c r="C1900">
        <v>5</v>
      </c>
      <c r="D1900">
        <v>967.05</v>
      </c>
      <c r="E1900" s="19">
        <v>45596</v>
      </c>
      <c r="F1900">
        <v>999.25</v>
      </c>
      <c r="G1900" s="19">
        <v>45602</v>
      </c>
      <c r="H1900">
        <v>-3.3297140788997521</v>
      </c>
    </row>
    <row r="1901" spans="1:8" x14ac:dyDescent="0.25">
      <c r="A1901" t="s">
        <v>264</v>
      </c>
      <c r="B1901" t="s">
        <v>385</v>
      </c>
      <c r="C1901">
        <v>96</v>
      </c>
      <c r="D1901">
        <v>816.75</v>
      </c>
      <c r="E1901" s="19">
        <v>45455</v>
      </c>
      <c r="F1901">
        <v>921.4</v>
      </c>
      <c r="G1901" s="19">
        <v>45594</v>
      </c>
      <c r="H1901">
        <v>12.81297826752372</v>
      </c>
    </row>
    <row r="1902" spans="1:8" x14ac:dyDescent="0.25">
      <c r="A1902" t="s">
        <v>264</v>
      </c>
      <c r="B1902" t="s">
        <v>383</v>
      </c>
      <c r="C1902">
        <v>4</v>
      </c>
      <c r="D1902">
        <v>713.1</v>
      </c>
      <c r="E1902" s="19">
        <v>45448</v>
      </c>
      <c r="F1902">
        <v>764.1</v>
      </c>
      <c r="G1902" s="19">
        <v>45453</v>
      </c>
      <c r="H1902">
        <v>-7.1518721076987797</v>
      </c>
    </row>
    <row r="1903" spans="1:8" x14ac:dyDescent="0.25">
      <c r="A1903" t="s">
        <v>264</v>
      </c>
      <c r="B1903" t="s">
        <v>385</v>
      </c>
      <c r="C1903">
        <v>32</v>
      </c>
      <c r="D1903">
        <v>752.1</v>
      </c>
      <c r="E1903" s="19">
        <v>45400</v>
      </c>
      <c r="F1903">
        <v>729.15</v>
      </c>
      <c r="G1903" s="19">
        <v>45446</v>
      </c>
      <c r="H1903">
        <v>-3.051455923414446</v>
      </c>
    </row>
    <row r="1904" spans="1:8" x14ac:dyDescent="0.25">
      <c r="A1904" t="s">
        <v>264</v>
      </c>
      <c r="B1904" t="s">
        <v>383</v>
      </c>
      <c r="C1904">
        <v>37</v>
      </c>
      <c r="D1904">
        <v>742.7</v>
      </c>
      <c r="E1904" s="19">
        <v>45342</v>
      </c>
      <c r="F1904">
        <v>738.15</v>
      </c>
      <c r="G1904" s="19">
        <v>45397</v>
      </c>
      <c r="H1904">
        <v>0.61262959472196954</v>
      </c>
    </row>
    <row r="1905" spans="1:8" x14ac:dyDescent="0.25">
      <c r="A1905" t="s">
        <v>264</v>
      </c>
      <c r="B1905" t="s">
        <v>385</v>
      </c>
      <c r="C1905">
        <v>198</v>
      </c>
      <c r="D1905">
        <v>476.95</v>
      </c>
      <c r="E1905" s="19">
        <v>45051</v>
      </c>
      <c r="F1905">
        <v>768.8</v>
      </c>
      <c r="G1905" s="19">
        <v>45338</v>
      </c>
      <c r="H1905">
        <v>61.190900513680667</v>
      </c>
    </row>
    <row r="1906" spans="1:8" x14ac:dyDescent="0.25">
      <c r="A1906" t="s">
        <v>265</v>
      </c>
      <c r="B1906" t="s">
        <v>385</v>
      </c>
      <c r="C1906">
        <v>159</v>
      </c>
      <c r="D1906">
        <v>525.45000000000005</v>
      </c>
      <c r="E1906" s="19">
        <v>45429</v>
      </c>
      <c r="F1906">
        <v>1215.45</v>
      </c>
      <c r="G1906" s="19">
        <v>45660</v>
      </c>
      <c r="H1906">
        <v>131.3160148444191</v>
      </c>
    </row>
    <row r="1907" spans="1:8" x14ac:dyDescent="0.25">
      <c r="A1907" t="s">
        <v>265</v>
      </c>
      <c r="B1907" t="s">
        <v>383</v>
      </c>
      <c r="C1907">
        <v>43</v>
      </c>
      <c r="D1907">
        <v>456.7</v>
      </c>
      <c r="E1907" s="19">
        <v>45362</v>
      </c>
      <c r="F1907">
        <v>499.35</v>
      </c>
      <c r="G1907" s="19">
        <v>45427</v>
      </c>
      <c r="H1907">
        <v>-9.3387343989489899</v>
      </c>
    </row>
    <row r="1908" spans="1:8" x14ac:dyDescent="0.25">
      <c r="A1908" t="s">
        <v>265</v>
      </c>
      <c r="B1908" t="s">
        <v>385</v>
      </c>
      <c r="C1908">
        <v>12</v>
      </c>
      <c r="D1908">
        <v>506.45</v>
      </c>
      <c r="E1908" s="19">
        <v>45343</v>
      </c>
      <c r="F1908">
        <v>473.45</v>
      </c>
      <c r="G1908" s="19">
        <v>45357</v>
      </c>
      <c r="H1908">
        <v>-6.5159443182940073</v>
      </c>
    </row>
    <row r="1909" spans="1:8" x14ac:dyDescent="0.25">
      <c r="A1909" t="s">
        <v>265</v>
      </c>
      <c r="B1909" t="s">
        <v>383</v>
      </c>
      <c r="C1909">
        <v>44</v>
      </c>
      <c r="D1909">
        <v>492.9</v>
      </c>
      <c r="E1909" s="19">
        <v>45278</v>
      </c>
      <c r="F1909">
        <v>513.75</v>
      </c>
      <c r="G1909" s="19">
        <v>45341</v>
      </c>
      <c r="H1909">
        <v>-4.2300669506999444</v>
      </c>
    </row>
    <row r="1910" spans="1:8" x14ac:dyDescent="0.25">
      <c r="A1910" t="s">
        <v>265</v>
      </c>
      <c r="B1910" t="s">
        <v>385</v>
      </c>
      <c r="C1910">
        <v>161</v>
      </c>
      <c r="D1910">
        <v>354.85</v>
      </c>
      <c r="E1910" s="19">
        <v>45041</v>
      </c>
      <c r="F1910">
        <v>495.2</v>
      </c>
      <c r="G1910" s="19">
        <v>45274</v>
      </c>
      <c r="H1910">
        <v>39.551923347893457</v>
      </c>
    </row>
    <row r="1911" spans="1:8" x14ac:dyDescent="0.25">
      <c r="A1911" t="s">
        <v>266</v>
      </c>
      <c r="B1911" t="s">
        <v>385</v>
      </c>
      <c r="C1911">
        <v>190</v>
      </c>
      <c r="D1911">
        <v>1575.7</v>
      </c>
      <c r="E1911" s="19">
        <v>45383</v>
      </c>
      <c r="F1911">
        <v>2775.3</v>
      </c>
      <c r="G1911" s="19">
        <v>45660</v>
      </c>
      <c r="H1911">
        <v>76.131243256965163</v>
      </c>
    </row>
    <row r="1912" spans="1:8" x14ac:dyDescent="0.25">
      <c r="A1912" t="s">
        <v>266</v>
      </c>
      <c r="B1912" t="s">
        <v>383</v>
      </c>
      <c r="C1912">
        <v>7</v>
      </c>
      <c r="D1912">
        <v>1495.6</v>
      </c>
      <c r="E1912" s="19">
        <v>45369</v>
      </c>
      <c r="F1912">
        <v>1584.65</v>
      </c>
      <c r="G1912" s="19">
        <v>45378</v>
      </c>
      <c r="H1912">
        <v>-5.9541321208879507</v>
      </c>
    </row>
    <row r="1913" spans="1:8" x14ac:dyDescent="0.25">
      <c r="A1913" t="s">
        <v>266</v>
      </c>
      <c r="B1913" t="s">
        <v>385</v>
      </c>
      <c r="C1913">
        <v>26</v>
      </c>
      <c r="D1913">
        <v>1564.05</v>
      </c>
      <c r="E1913" s="19">
        <v>45330</v>
      </c>
      <c r="F1913">
        <v>1418.15</v>
      </c>
      <c r="G1913" s="19">
        <v>45365</v>
      </c>
      <c r="H1913">
        <v>-9.328346280489745</v>
      </c>
    </row>
    <row r="1914" spans="1:8" x14ac:dyDescent="0.25">
      <c r="A1914" t="s">
        <v>266</v>
      </c>
      <c r="B1914" t="s">
        <v>383</v>
      </c>
      <c r="C1914">
        <v>15</v>
      </c>
      <c r="D1914">
        <v>1469.55</v>
      </c>
      <c r="E1914" s="19">
        <v>45307</v>
      </c>
      <c r="F1914">
        <v>1584.9</v>
      </c>
      <c r="G1914" s="19">
        <v>45328</v>
      </c>
      <c r="H1914">
        <v>-7.8493416351944569</v>
      </c>
    </row>
    <row r="1915" spans="1:8" x14ac:dyDescent="0.25">
      <c r="A1915" t="s">
        <v>266</v>
      </c>
      <c r="B1915" t="s">
        <v>385</v>
      </c>
      <c r="C1915">
        <v>219</v>
      </c>
      <c r="D1915">
        <v>959</v>
      </c>
      <c r="E1915" s="19">
        <v>44980</v>
      </c>
      <c r="F1915">
        <v>1462.45</v>
      </c>
      <c r="G1915" s="19">
        <v>45303</v>
      </c>
      <c r="H1915">
        <v>52.497393117831081</v>
      </c>
    </row>
    <row r="1916" spans="1:8" x14ac:dyDescent="0.25">
      <c r="A1916" t="s">
        <v>267</v>
      </c>
      <c r="B1916" t="s">
        <v>385</v>
      </c>
      <c r="C1916">
        <v>24</v>
      </c>
      <c r="D1916">
        <v>7351.95</v>
      </c>
      <c r="E1916" s="19">
        <v>45628</v>
      </c>
      <c r="F1916">
        <v>7208</v>
      </c>
      <c r="G1916" s="19">
        <v>45660</v>
      </c>
      <c r="H1916">
        <v>-1.9579839362346021</v>
      </c>
    </row>
    <row r="1917" spans="1:8" x14ac:dyDescent="0.25">
      <c r="A1917" t="s">
        <v>267</v>
      </c>
      <c r="B1917" t="s">
        <v>383</v>
      </c>
      <c r="C1917">
        <v>20</v>
      </c>
      <c r="D1917">
        <v>6394.35</v>
      </c>
      <c r="E1917" s="19">
        <v>45595</v>
      </c>
      <c r="F1917">
        <v>7149.2</v>
      </c>
      <c r="G1917" s="19">
        <v>45624</v>
      </c>
      <c r="H1917">
        <v>-11.804952809902479</v>
      </c>
    </row>
    <row r="1918" spans="1:8" x14ac:dyDescent="0.25">
      <c r="A1918" t="s">
        <v>267</v>
      </c>
      <c r="B1918" t="s">
        <v>385</v>
      </c>
      <c r="C1918">
        <v>157</v>
      </c>
      <c r="D1918">
        <v>4933.8999999999996</v>
      </c>
      <c r="E1918" s="19">
        <v>45362</v>
      </c>
      <c r="F1918">
        <v>6369.25</v>
      </c>
      <c r="G1918" s="19">
        <v>45593</v>
      </c>
      <c r="H1918">
        <v>29.091590830782959</v>
      </c>
    </row>
    <row r="1919" spans="1:8" x14ac:dyDescent="0.25">
      <c r="A1919" t="s">
        <v>267</v>
      </c>
      <c r="B1919" t="s">
        <v>383</v>
      </c>
      <c r="C1919">
        <v>39</v>
      </c>
      <c r="D1919">
        <v>3980.9</v>
      </c>
      <c r="E1919" s="19">
        <v>45303</v>
      </c>
      <c r="F1919">
        <v>4880.3</v>
      </c>
      <c r="G1919" s="19">
        <v>45357</v>
      </c>
      <c r="H1919">
        <v>-22.592881006807509</v>
      </c>
    </row>
    <row r="1920" spans="1:8" x14ac:dyDescent="0.25">
      <c r="A1920" t="s">
        <v>267</v>
      </c>
      <c r="B1920" t="s">
        <v>385</v>
      </c>
      <c r="C1920">
        <v>186</v>
      </c>
      <c r="D1920">
        <v>3084.25</v>
      </c>
      <c r="E1920" s="19">
        <v>45029</v>
      </c>
      <c r="F1920">
        <v>4911.8500000000004</v>
      </c>
      <c r="G1920" s="19">
        <v>45301</v>
      </c>
      <c r="H1920">
        <v>59.255896895517559</v>
      </c>
    </row>
    <row r="1921" spans="1:8" x14ac:dyDescent="0.25">
      <c r="A1921" t="s">
        <v>268</v>
      </c>
      <c r="B1921" t="s">
        <v>383</v>
      </c>
      <c r="C1921">
        <v>9</v>
      </c>
      <c r="D1921">
        <v>315.3</v>
      </c>
      <c r="E1921" s="19">
        <v>45649</v>
      </c>
      <c r="F1921">
        <v>316.05</v>
      </c>
      <c r="G1921" s="19">
        <v>45660</v>
      </c>
      <c r="H1921">
        <v>-0.23786869647954331</v>
      </c>
    </row>
    <row r="1922" spans="1:8" x14ac:dyDescent="0.25">
      <c r="A1922" t="s">
        <v>268</v>
      </c>
      <c r="B1922" t="s">
        <v>385</v>
      </c>
      <c r="C1922">
        <v>4</v>
      </c>
      <c r="D1922">
        <v>335</v>
      </c>
      <c r="E1922" s="19">
        <v>45642</v>
      </c>
      <c r="F1922">
        <v>321.64999999999998</v>
      </c>
      <c r="G1922" s="19">
        <v>45645</v>
      </c>
      <c r="H1922">
        <v>-3.985074626865678</v>
      </c>
    </row>
    <row r="1923" spans="1:8" x14ac:dyDescent="0.25">
      <c r="A1923" t="s">
        <v>268</v>
      </c>
      <c r="B1923" t="s">
        <v>383</v>
      </c>
      <c r="C1923">
        <v>41</v>
      </c>
      <c r="D1923">
        <v>329.85</v>
      </c>
      <c r="E1923" s="19">
        <v>45580</v>
      </c>
      <c r="F1923">
        <v>329.2</v>
      </c>
      <c r="G1923" s="19">
        <v>45638</v>
      </c>
      <c r="H1923">
        <v>0.19705926936487311</v>
      </c>
    </row>
    <row r="1924" spans="1:8" x14ac:dyDescent="0.25">
      <c r="A1924" t="s">
        <v>268</v>
      </c>
      <c r="B1924" t="s">
        <v>385</v>
      </c>
      <c r="C1924">
        <v>401</v>
      </c>
      <c r="D1924">
        <v>166.69</v>
      </c>
      <c r="E1924" s="19">
        <v>44985</v>
      </c>
      <c r="F1924">
        <v>330.05</v>
      </c>
      <c r="G1924" s="19">
        <v>45576</v>
      </c>
      <c r="H1924">
        <v>98.002279680844694</v>
      </c>
    </row>
    <row r="1925" spans="1:8" x14ac:dyDescent="0.25">
      <c r="A1925" t="s">
        <v>270</v>
      </c>
      <c r="B1925" t="s">
        <v>383</v>
      </c>
      <c r="C1925">
        <v>70</v>
      </c>
      <c r="D1925">
        <v>182.91</v>
      </c>
      <c r="E1925" s="19">
        <v>45559</v>
      </c>
      <c r="F1925">
        <v>162.06</v>
      </c>
      <c r="G1925" s="19">
        <v>45660</v>
      </c>
      <c r="H1925">
        <v>11.399048712481539</v>
      </c>
    </row>
    <row r="1926" spans="1:8" x14ac:dyDescent="0.25">
      <c r="A1926" t="s">
        <v>270</v>
      </c>
      <c r="B1926" t="s">
        <v>385</v>
      </c>
      <c r="C1926">
        <v>67</v>
      </c>
      <c r="D1926">
        <v>189.38</v>
      </c>
      <c r="E1926" s="19">
        <v>45461</v>
      </c>
      <c r="F1926">
        <v>178.78</v>
      </c>
      <c r="G1926" s="19">
        <v>45555</v>
      </c>
      <c r="H1926">
        <v>-5.59721195479987</v>
      </c>
    </row>
    <row r="1927" spans="1:8" x14ac:dyDescent="0.25">
      <c r="A1927" t="s">
        <v>270</v>
      </c>
      <c r="B1927" t="s">
        <v>383</v>
      </c>
      <c r="C1927">
        <v>69</v>
      </c>
      <c r="D1927">
        <v>181.4</v>
      </c>
      <c r="E1927" s="19">
        <v>45353</v>
      </c>
      <c r="F1927">
        <v>173.71</v>
      </c>
      <c r="G1927" s="19">
        <v>45456</v>
      </c>
      <c r="H1927">
        <v>4.2392502756339567</v>
      </c>
    </row>
    <row r="1928" spans="1:8" x14ac:dyDescent="0.25">
      <c r="A1928" t="s">
        <v>270</v>
      </c>
      <c r="B1928" t="s">
        <v>385</v>
      </c>
      <c r="C1928">
        <v>200</v>
      </c>
      <c r="D1928">
        <v>59.9</v>
      </c>
      <c r="E1928" s="19">
        <v>45062</v>
      </c>
      <c r="F1928">
        <v>172.6</v>
      </c>
      <c r="G1928" s="19">
        <v>45351</v>
      </c>
      <c r="H1928">
        <v>188.14691151919871</v>
      </c>
    </row>
    <row r="1929" spans="1:8" x14ac:dyDescent="0.25">
      <c r="A1929" t="s">
        <v>271</v>
      </c>
      <c r="B1929" t="s">
        <v>385</v>
      </c>
      <c r="C1929">
        <v>19</v>
      </c>
      <c r="D1929">
        <v>673.7</v>
      </c>
      <c r="E1929" s="19">
        <v>45635</v>
      </c>
      <c r="F1929">
        <v>679.5</v>
      </c>
      <c r="G1929" s="19">
        <v>45660</v>
      </c>
      <c r="H1929">
        <v>0.86091732225025297</v>
      </c>
    </row>
    <row r="1930" spans="1:8" x14ac:dyDescent="0.25">
      <c r="A1930" t="s">
        <v>271</v>
      </c>
      <c r="B1930" t="s">
        <v>383</v>
      </c>
      <c r="C1930">
        <v>51</v>
      </c>
      <c r="D1930">
        <v>688.5</v>
      </c>
      <c r="E1930" s="19">
        <v>45558</v>
      </c>
      <c r="F1930">
        <v>654.45000000000005</v>
      </c>
      <c r="G1930" s="19">
        <v>45631</v>
      </c>
      <c r="H1930">
        <v>4.9455337690631742</v>
      </c>
    </row>
    <row r="1931" spans="1:8" x14ac:dyDescent="0.25">
      <c r="A1931" t="s">
        <v>271</v>
      </c>
      <c r="B1931" t="s">
        <v>385</v>
      </c>
      <c r="C1931">
        <v>2</v>
      </c>
      <c r="D1931">
        <v>681.45</v>
      </c>
      <c r="E1931" s="19">
        <v>45553</v>
      </c>
      <c r="F1931">
        <v>672.3</v>
      </c>
      <c r="G1931" s="19">
        <v>45554</v>
      </c>
      <c r="H1931">
        <v>-1.3427250715386441</v>
      </c>
    </row>
    <row r="1932" spans="1:8" x14ac:dyDescent="0.25">
      <c r="A1932" t="s">
        <v>271</v>
      </c>
      <c r="B1932" t="s">
        <v>383</v>
      </c>
      <c r="C1932">
        <v>7</v>
      </c>
      <c r="D1932">
        <v>676.95</v>
      </c>
      <c r="E1932" s="19">
        <v>45541</v>
      </c>
      <c r="F1932">
        <v>695.8</v>
      </c>
      <c r="G1932" s="19">
        <v>45551</v>
      </c>
      <c r="H1932">
        <v>-2.7845483418272998</v>
      </c>
    </row>
    <row r="1933" spans="1:8" x14ac:dyDescent="0.25">
      <c r="A1933" t="s">
        <v>271</v>
      </c>
      <c r="B1933" t="s">
        <v>385</v>
      </c>
      <c r="C1933">
        <v>44</v>
      </c>
      <c r="D1933">
        <v>680.6</v>
      </c>
      <c r="E1933" s="19">
        <v>45476</v>
      </c>
      <c r="F1933">
        <v>671.5</v>
      </c>
      <c r="G1933" s="19">
        <v>45539</v>
      </c>
      <c r="H1933">
        <v>-1.337055539230094</v>
      </c>
    </row>
    <row r="1934" spans="1:8" x14ac:dyDescent="0.25">
      <c r="A1934" t="s">
        <v>271</v>
      </c>
      <c r="B1934" t="s">
        <v>383</v>
      </c>
      <c r="C1934">
        <v>94</v>
      </c>
      <c r="D1934">
        <v>706.4</v>
      </c>
      <c r="E1934" s="19">
        <v>45335</v>
      </c>
      <c r="F1934">
        <v>691.25</v>
      </c>
      <c r="G1934" s="19">
        <v>45474</v>
      </c>
      <c r="H1934">
        <v>2.144677236693088</v>
      </c>
    </row>
    <row r="1935" spans="1:8" x14ac:dyDescent="0.25">
      <c r="A1935" t="s">
        <v>271</v>
      </c>
      <c r="B1935" t="s">
        <v>385</v>
      </c>
      <c r="C1935">
        <v>1</v>
      </c>
      <c r="D1935">
        <v>736.85</v>
      </c>
      <c r="E1935" s="19">
        <v>45331</v>
      </c>
      <c r="F1935">
        <v>736.85</v>
      </c>
      <c r="G1935" s="19">
        <v>45331</v>
      </c>
      <c r="H1935">
        <v>0</v>
      </c>
    </row>
    <row r="1936" spans="1:8" x14ac:dyDescent="0.25">
      <c r="A1936" t="s">
        <v>271</v>
      </c>
      <c r="B1936" t="s">
        <v>383</v>
      </c>
      <c r="C1936">
        <v>79</v>
      </c>
      <c r="D1936">
        <v>764.5</v>
      </c>
      <c r="E1936" s="19">
        <v>45215</v>
      </c>
      <c r="F1936">
        <v>777.75</v>
      </c>
      <c r="G1936" s="19">
        <v>45329</v>
      </c>
      <c r="H1936">
        <v>-1.7331589274035319</v>
      </c>
    </row>
    <row r="1937" spans="1:8" x14ac:dyDescent="0.25">
      <c r="A1937" t="s">
        <v>271</v>
      </c>
      <c r="B1937" t="s">
        <v>385</v>
      </c>
      <c r="C1937">
        <v>51</v>
      </c>
      <c r="D1937">
        <v>792.5</v>
      </c>
      <c r="E1937" s="19">
        <v>45138</v>
      </c>
      <c r="F1937">
        <v>770.2</v>
      </c>
      <c r="G1937" s="19">
        <v>45211</v>
      </c>
      <c r="H1937">
        <v>-2.8138801261829589</v>
      </c>
    </row>
    <row r="1938" spans="1:8" x14ac:dyDescent="0.25">
      <c r="A1938" t="s">
        <v>271</v>
      </c>
      <c r="B1938" t="s">
        <v>383</v>
      </c>
      <c r="C1938">
        <v>7</v>
      </c>
      <c r="D1938">
        <v>717</v>
      </c>
      <c r="E1938" s="19">
        <v>45126</v>
      </c>
      <c r="F1938">
        <v>737.5</v>
      </c>
      <c r="G1938" s="19">
        <v>45134</v>
      </c>
      <c r="H1938">
        <v>-2.8591352859135291</v>
      </c>
    </row>
    <row r="1939" spans="1:8" x14ac:dyDescent="0.25">
      <c r="A1939" t="s">
        <v>271</v>
      </c>
      <c r="B1939" t="s">
        <v>385</v>
      </c>
      <c r="C1939">
        <v>53</v>
      </c>
      <c r="D1939">
        <v>728.25</v>
      </c>
      <c r="E1939" s="19">
        <v>45049</v>
      </c>
      <c r="F1939">
        <v>716.55</v>
      </c>
      <c r="G1939" s="19">
        <v>45124</v>
      </c>
      <c r="H1939">
        <v>-1.6065911431513971</v>
      </c>
    </row>
    <row r="1940" spans="1:8" x14ac:dyDescent="0.25">
      <c r="A1940" t="s">
        <v>272</v>
      </c>
      <c r="B1940" t="s">
        <v>383</v>
      </c>
      <c r="C1940">
        <v>77</v>
      </c>
      <c r="D1940">
        <v>1211.05</v>
      </c>
      <c r="E1940" s="19">
        <v>45548</v>
      </c>
      <c r="F1940">
        <v>1037.45</v>
      </c>
      <c r="G1940" s="19">
        <v>45660</v>
      </c>
      <c r="H1940">
        <v>14.334668263077489</v>
      </c>
    </row>
    <row r="1941" spans="1:8" x14ac:dyDescent="0.25">
      <c r="A1941" t="s">
        <v>272</v>
      </c>
      <c r="B1941" t="s">
        <v>385</v>
      </c>
      <c r="C1941">
        <v>5</v>
      </c>
      <c r="D1941">
        <v>1272.8</v>
      </c>
      <c r="E1941" s="19">
        <v>45540</v>
      </c>
      <c r="F1941">
        <v>1258.7</v>
      </c>
      <c r="G1941" s="19">
        <v>45546</v>
      </c>
      <c r="H1941">
        <v>-1.1077938403519729</v>
      </c>
    </row>
    <row r="1942" spans="1:8" x14ac:dyDescent="0.25">
      <c r="A1942" t="s">
        <v>272</v>
      </c>
      <c r="B1942" t="s">
        <v>383</v>
      </c>
      <c r="C1942">
        <v>12</v>
      </c>
      <c r="D1942">
        <v>1204.95</v>
      </c>
      <c r="E1942" s="19">
        <v>45523</v>
      </c>
      <c r="F1942">
        <v>1300.7</v>
      </c>
      <c r="G1942" s="19">
        <v>45538</v>
      </c>
      <c r="H1942">
        <v>-7.946387816921864</v>
      </c>
    </row>
    <row r="1943" spans="1:8" x14ac:dyDescent="0.25">
      <c r="A1943" t="s">
        <v>272</v>
      </c>
      <c r="B1943" t="s">
        <v>385</v>
      </c>
      <c r="C1943">
        <v>51</v>
      </c>
      <c r="D1943">
        <v>1099.8499999999999</v>
      </c>
      <c r="E1943" s="19">
        <v>45446</v>
      </c>
      <c r="F1943">
        <v>1185.55</v>
      </c>
      <c r="G1943" s="19">
        <v>45518</v>
      </c>
      <c r="H1943">
        <v>7.7919716324953452</v>
      </c>
    </row>
    <row r="1944" spans="1:8" x14ac:dyDescent="0.25">
      <c r="A1944" t="s">
        <v>272</v>
      </c>
      <c r="B1944" t="s">
        <v>383</v>
      </c>
      <c r="C1944">
        <v>10</v>
      </c>
      <c r="D1944">
        <v>1028.8</v>
      </c>
      <c r="E1944" s="19">
        <v>45429</v>
      </c>
      <c r="F1944">
        <v>1108.45</v>
      </c>
      <c r="G1944" s="19">
        <v>45442</v>
      </c>
      <c r="H1944">
        <v>-7.7420295489891222</v>
      </c>
    </row>
    <row r="1945" spans="1:8" x14ac:dyDescent="0.25">
      <c r="A1945" t="s">
        <v>272</v>
      </c>
      <c r="B1945" t="s">
        <v>385</v>
      </c>
      <c r="C1945">
        <v>16</v>
      </c>
      <c r="D1945">
        <v>1100.0999999999999</v>
      </c>
      <c r="E1945" s="19">
        <v>45405</v>
      </c>
      <c r="F1945">
        <v>1036.6500000000001</v>
      </c>
      <c r="G1945" s="19">
        <v>45427</v>
      </c>
      <c r="H1945">
        <v>-5.7676574856831042</v>
      </c>
    </row>
    <row r="1946" spans="1:8" x14ac:dyDescent="0.25">
      <c r="A1946" t="s">
        <v>272</v>
      </c>
      <c r="B1946" t="s">
        <v>383</v>
      </c>
      <c r="C1946">
        <v>56</v>
      </c>
      <c r="D1946">
        <v>1125</v>
      </c>
      <c r="E1946" s="19">
        <v>45320</v>
      </c>
      <c r="F1946">
        <v>1103.3499999999999</v>
      </c>
      <c r="G1946" s="19">
        <v>45401</v>
      </c>
      <c r="H1946">
        <v>1.9244444444444531</v>
      </c>
    </row>
    <row r="1947" spans="1:8" x14ac:dyDescent="0.25">
      <c r="A1947" t="s">
        <v>272</v>
      </c>
      <c r="B1947" t="s">
        <v>385</v>
      </c>
      <c r="C1947">
        <v>153</v>
      </c>
      <c r="D1947">
        <v>904.45</v>
      </c>
      <c r="E1947" s="19">
        <v>45092</v>
      </c>
      <c r="F1947">
        <v>1190.95</v>
      </c>
      <c r="G1947" s="19">
        <v>45315</v>
      </c>
      <c r="H1947">
        <v>31.676709602520869</v>
      </c>
    </row>
    <row r="1948" spans="1:8" x14ac:dyDescent="0.25">
      <c r="A1948" t="s">
        <v>272</v>
      </c>
      <c r="B1948" t="s">
        <v>383</v>
      </c>
      <c r="C1948">
        <v>177</v>
      </c>
      <c r="D1948">
        <v>1228.1500000000001</v>
      </c>
      <c r="E1948" s="19">
        <v>44830</v>
      </c>
      <c r="F1948">
        <v>925.8</v>
      </c>
      <c r="G1948" s="19">
        <v>45090</v>
      </c>
      <c r="H1948">
        <v>24.618328380083881</v>
      </c>
    </row>
    <row r="1949" spans="1:8" x14ac:dyDescent="0.25">
      <c r="A1949" t="s">
        <v>274</v>
      </c>
      <c r="B1949" t="s">
        <v>383</v>
      </c>
      <c r="C1949">
        <v>5</v>
      </c>
      <c r="D1949">
        <v>392.9</v>
      </c>
      <c r="E1949" s="19">
        <v>45656</v>
      </c>
      <c r="F1949">
        <v>422.55</v>
      </c>
      <c r="G1949" s="19">
        <v>45660</v>
      </c>
      <c r="H1949">
        <v>-7.5464494782387463</v>
      </c>
    </row>
    <row r="1950" spans="1:8" x14ac:dyDescent="0.25">
      <c r="A1950" t="s">
        <v>274</v>
      </c>
      <c r="B1950" t="s">
        <v>385</v>
      </c>
      <c r="C1950">
        <v>9</v>
      </c>
      <c r="D1950">
        <v>440.85</v>
      </c>
      <c r="E1950" s="19">
        <v>45639</v>
      </c>
      <c r="F1950">
        <v>401.45</v>
      </c>
      <c r="G1950" s="19">
        <v>45652</v>
      </c>
      <c r="H1950">
        <v>-8.9372802540546754</v>
      </c>
    </row>
    <row r="1951" spans="1:8" x14ac:dyDescent="0.25">
      <c r="A1951" t="s">
        <v>274</v>
      </c>
      <c r="B1951" t="s">
        <v>383</v>
      </c>
      <c r="C1951">
        <v>57</v>
      </c>
      <c r="D1951">
        <v>450.9</v>
      </c>
      <c r="E1951" s="19">
        <v>45554</v>
      </c>
      <c r="F1951">
        <v>451.5</v>
      </c>
      <c r="G1951" s="19">
        <v>45637</v>
      </c>
      <c r="H1951">
        <v>-0.13306719893546751</v>
      </c>
    </row>
    <row r="1952" spans="1:8" x14ac:dyDescent="0.25">
      <c r="A1952" t="s">
        <v>274</v>
      </c>
      <c r="B1952" t="s">
        <v>385</v>
      </c>
      <c r="C1952">
        <v>84</v>
      </c>
      <c r="D1952">
        <v>412</v>
      </c>
      <c r="E1952" s="19">
        <v>45430</v>
      </c>
      <c r="F1952">
        <v>473.5</v>
      </c>
      <c r="G1952" s="19">
        <v>45552</v>
      </c>
      <c r="H1952">
        <v>14.927184466019421</v>
      </c>
    </row>
    <row r="1953" spans="1:8" x14ac:dyDescent="0.25">
      <c r="A1953" t="s">
        <v>274</v>
      </c>
      <c r="B1953" t="s">
        <v>383</v>
      </c>
      <c r="C1953">
        <v>5</v>
      </c>
      <c r="D1953">
        <v>361.45</v>
      </c>
      <c r="E1953" s="19">
        <v>45422</v>
      </c>
      <c r="F1953">
        <v>401.7</v>
      </c>
      <c r="G1953" s="19">
        <v>45428</v>
      </c>
      <c r="H1953">
        <v>-11.13570341679347</v>
      </c>
    </row>
    <row r="1954" spans="1:8" x14ac:dyDescent="0.25">
      <c r="A1954" t="s">
        <v>274</v>
      </c>
      <c r="B1954" t="s">
        <v>385</v>
      </c>
      <c r="C1954">
        <v>7</v>
      </c>
      <c r="D1954">
        <v>399.15</v>
      </c>
      <c r="E1954" s="19">
        <v>45411</v>
      </c>
      <c r="F1954">
        <v>373.2</v>
      </c>
      <c r="G1954" s="19">
        <v>45420</v>
      </c>
      <c r="H1954">
        <v>-6.5013152950018762</v>
      </c>
    </row>
    <row r="1955" spans="1:8" x14ac:dyDescent="0.25">
      <c r="A1955" t="s">
        <v>274</v>
      </c>
      <c r="B1955" t="s">
        <v>383</v>
      </c>
      <c r="C1955">
        <v>21</v>
      </c>
      <c r="D1955">
        <v>360.25</v>
      </c>
      <c r="E1955" s="19">
        <v>45373</v>
      </c>
      <c r="F1955">
        <v>395.75</v>
      </c>
      <c r="G1955" s="19">
        <v>45407</v>
      </c>
      <c r="H1955">
        <v>-9.854267869535045</v>
      </c>
    </row>
    <row r="1956" spans="1:8" x14ac:dyDescent="0.25">
      <c r="A1956" t="s">
        <v>274</v>
      </c>
      <c r="B1956" t="s">
        <v>385</v>
      </c>
      <c r="C1956">
        <v>223</v>
      </c>
      <c r="D1956">
        <v>121.85</v>
      </c>
      <c r="E1956" s="19">
        <v>45049</v>
      </c>
      <c r="F1956">
        <v>349.9</v>
      </c>
      <c r="G1956" s="19">
        <v>45371</v>
      </c>
      <c r="H1956">
        <v>187.15633976200249</v>
      </c>
    </row>
    <row r="1957" spans="1:8" x14ac:dyDescent="0.25">
      <c r="A1957" t="s">
        <v>275</v>
      </c>
      <c r="B1957" t="s">
        <v>385</v>
      </c>
      <c r="C1957">
        <v>84</v>
      </c>
      <c r="D1957">
        <v>1263.6500000000001</v>
      </c>
      <c r="E1957" s="19">
        <v>45539</v>
      </c>
      <c r="F1957">
        <v>1557.8</v>
      </c>
      <c r="G1957" s="19">
        <v>45660</v>
      </c>
      <c r="H1957">
        <v>23.277806354607669</v>
      </c>
    </row>
    <row r="1958" spans="1:8" x14ac:dyDescent="0.25">
      <c r="A1958" t="s">
        <v>275</v>
      </c>
      <c r="B1958" t="s">
        <v>383</v>
      </c>
      <c r="C1958">
        <v>65</v>
      </c>
      <c r="D1958">
        <v>1230.95</v>
      </c>
      <c r="E1958" s="19">
        <v>45442</v>
      </c>
      <c r="F1958">
        <v>1278.2</v>
      </c>
      <c r="G1958" s="19">
        <v>45537</v>
      </c>
      <c r="H1958">
        <v>-3.838498720500426</v>
      </c>
    </row>
    <row r="1959" spans="1:8" x14ac:dyDescent="0.25">
      <c r="A1959" t="s">
        <v>275</v>
      </c>
      <c r="B1959" t="s">
        <v>385</v>
      </c>
      <c r="C1959">
        <v>38</v>
      </c>
      <c r="D1959">
        <v>1360.15</v>
      </c>
      <c r="E1959" s="19">
        <v>45384</v>
      </c>
      <c r="F1959">
        <v>1268.3</v>
      </c>
      <c r="G1959" s="19">
        <v>45440</v>
      </c>
      <c r="H1959">
        <v>-6.7529316619490594</v>
      </c>
    </row>
    <row r="1960" spans="1:8" x14ac:dyDescent="0.25">
      <c r="A1960" t="s">
        <v>275</v>
      </c>
      <c r="B1960" t="s">
        <v>383</v>
      </c>
      <c r="C1960">
        <v>11</v>
      </c>
      <c r="D1960">
        <v>1104.4000000000001</v>
      </c>
      <c r="E1960" s="19">
        <v>45364</v>
      </c>
      <c r="F1960">
        <v>1297.55</v>
      </c>
      <c r="G1960" s="19">
        <v>45379</v>
      </c>
      <c r="H1960">
        <v>-17.489134371604479</v>
      </c>
    </row>
    <row r="1961" spans="1:8" x14ac:dyDescent="0.25">
      <c r="A1961" t="s">
        <v>275</v>
      </c>
      <c r="B1961" t="s">
        <v>385</v>
      </c>
      <c r="C1961">
        <v>76</v>
      </c>
      <c r="D1961">
        <v>1131.3</v>
      </c>
      <c r="E1961" s="19">
        <v>45252</v>
      </c>
      <c r="F1961">
        <v>1133.5999999999999</v>
      </c>
      <c r="G1961" s="19">
        <v>45362</v>
      </c>
      <c r="H1961">
        <v>0.2033059312295549</v>
      </c>
    </row>
    <row r="1962" spans="1:8" x14ac:dyDescent="0.25">
      <c r="A1962" t="s">
        <v>275</v>
      </c>
      <c r="B1962" t="s">
        <v>383</v>
      </c>
      <c r="C1962">
        <v>7</v>
      </c>
      <c r="D1962">
        <v>1021.5</v>
      </c>
      <c r="E1962" s="19">
        <v>45240</v>
      </c>
      <c r="F1962">
        <v>1113.4000000000001</v>
      </c>
      <c r="G1962" s="19">
        <v>45250</v>
      </c>
      <c r="H1962">
        <v>-8.9965736661771984</v>
      </c>
    </row>
    <row r="1963" spans="1:8" x14ac:dyDescent="0.25">
      <c r="A1963" t="s">
        <v>275</v>
      </c>
      <c r="B1963" t="s">
        <v>385</v>
      </c>
      <c r="C1963">
        <v>18</v>
      </c>
      <c r="D1963">
        <v>1080.0999999999999</v>
      </c>
      <c r="E1963" s="19">
        <v>45212</v>
      </c>
      <c r="F1963">
        <v>1019.25</v>
      </c>
      <c r="G1963" s="19">
        <v>45238</v>
      </c>
      <c r="H1963">
        <v>-5.6337376168873172</v>
      </c>
    </row>
    <row r="1964" spans="1:8" x14ac:dyDescent="0.25">
      <c r="A1964" t="s">
        <v>275</v>
      </c>
      <c r="B1964" t="s">
        <v>383</v>
      </c>
      <c r="C1964">
        <v>9</v>
      </c>
      <c r="D1964">
        <v>1035.8499999999999</v>
      </c>
      <c r="E1964" s="19">
        <v>45197</v>
      </c>
      <c r="F1964">
        <v>1049.1500000000001</v>
      </c>
      <c r="G1964" s="19">
        <v>45210</v>
      </c>
      <c r="H1964">
        <v>-1.283969686730722</v>
      </c>
    </row>
    <row r="1965" spans="1:8" x14ac:dyDescent="0.25">
      <c r="A1965" t="s">
        <v>275</v>
      </c>
      <c r="B1965" t="s">
        <v>385</v>
      </c>
      <c r="C1965">
        <v>112</v>
      </c>
      <c r="D1965">
        <v>800.05</v>
      </c>
      <c r="E1965" s="19">
        <v>45034</v>
      </c>
      <c r="F1965">
        <v>1035.75</v>
      </c>
      <c r="G1965" s="19">
        <v>45195</v>
      </c>
      <c r="H1965">
        <v>29.46065870883071</v>
      </c>
    </row>
    <row r="1966" spans="1:8" x14ac:dyDescent="0.25">
      <c r="A1966" t="s">
        <v>276</v>
      </c>
      <c r="B1966" t="s">
        <v>383</v>
      </c>
      <c r="C1966">
        <v>11</v>
      </c>
      <c r="D1966">
        <v>906.1</v>
      </c>
      <c r="E1966" s="19">
        <v>45645</v>
      </c>
      <c r="F1966">
        <v>917.4</v>
      </c>
      <c r="G1966" s="19">
        <v>45660</v>
      </c>
      <c r="H1966">
        <v>-1.247102968767239</v>
      </c>
    </row>
    <row r="1967" spans="1:8" x14ac:dyDescent="0.25">
      <c r="A1967" t="s">
        <v>276</v>
      </c>
      <c r="B1967" t="s">
        <v>385</v>
      </c>
      <c r="C1967">
        <v>13</v>
      </c>
      <c r="D1967">
        <v>966.2</v>
      </c>
      <c r="E1967" s="19">
        <v>45625</v>
      </c>
      <c r="F1967">
        <v>921.95</v>
      </c>
      <c r="G1967" s="19">
        <v>45643</v>
      </c>
      <c r="H1967">
        <v>-4.5797971434485616</v>
      </c>
    </row>
    <row r="1968" spans="1:8" x14ac:dyDescent="0.25">
      <c r="A1968" t="s">
        <v>276</v>
      </c>
      <c r="B1968" t="s">
        <v>383</v>
      </c>
      <c r="C1968">
        <v>19</v>
      </c>
      <c r="D1968">
        <v>909.25</v>
      </c>
      <c r="E1968" s="19">
        <v>45595</v>
      </c>
      <c r="F1968">
        <v>975.35</v>
      </c>
      <c r="G1968" s="19">
        <v>45623</v>
      </c>
      <c r="H1968">
        <v>-7.2697277976354169</v>
      </c>
    </row>
    <row r="1969" spans="1:8" x14ac:dyDescent="0.25">
      <c r="A1969" t="s">
        <v>276</v>
      </c>
      <c r="B1969" t="s">
        <v>385</v>
      </c>
      <c r="C1969">
        <v>91</v>
      </c>
      <c r="D1969">
        <v>844.3</v>
      </c>
      <c r="E1969" s="19">
        <v>45462</v>
      </c>
      <c r="F1969">
        <v>881.35</v>
      </c>
      <c r="G1969" s="19">
        <v>45593</v>
      </c>
      <c r="H1969">
        <v>4.3882506218168977</v>
      </c>
    </row>
    <row r="1970" spans="1:8" x14ac:dyDescent="0.25">
      <c r="A1970" t="s">
        <v>276</v>
      </c>
      <c r="B1970" t="s">
        <v>383</v>
      </c>
      <c r="C1970">
        <v>15</v>
      </c>
      <c r="D1970">
        <v>698.15</v>
      </c>
      <c r="E1970" s="19">
        <v>45439</v>
      </c>
      <c r="F1970">
        <v>745.15</v>
      </c>
      <c r="G1970" s="19">
        <v>45457</v>
      </c>
      <c r="H1970">
        <v>-6.7320776337463304</v>
      </c>
    </row>
    <row r="1971" spans="1:8" x14ac:dyDescent="0.25">
      <c r="A1971" t="s">
        <v>276</v>
      </c>
      <c r="B1971" t="s">
        <v>385</v>
      </c>
      <c r="C1971">
        <v>2</v>
      </c>
      <c r="D1971">
        <v>726.3</v>
      </c>
      <c r="E1971" s="19">
        <v>45434</v>
      </c>
      <c r="F1971">
        <v>715.35</v>
      </c>
      <c r="G1971" s="19">
        <v>45435</v>
      </c>
      <c r="H1971">
        <v>-1.50764147046674</v>
      </c>
    </row>
    <row r="1972" spans="1:8" x14ac:dyDescent="0.25">
      <c r="A1972" t="s">
        <v>276</v>
      </c>
      <c r="B1972" t="s">
        <v>383</v>
      </c>
      <c r="C1972">
        <v>5</v>
      </c>
      <c r="D1972">
        <v>704.85</v>
      </c>
      <c r="E1972" s="19">
        <v>45426</v>
      </c>
      <c r="F1972">
        <v>739.5</v>
      </c>
      <c r="G1972" s="19">
        <v>45430</v>
      </c>
      <c r="H1972">
        <v>-4.915939561608849</v>
      </c>
    </row>
    <row r="1973" spans="1:8" x14ac:dyDescent="0.25">
      <c r="A1973" t="s">
        <v>276</v>
      </c>
      <c r="B1973" t="s">
        <v>385</v>
      </c>
      <c r="C1973">
        <v>12</v>
      </c>
      <c r="D1973">
        <v>768.3</v>
      </c>
      <c r="E1973" s="19">
        <v>45406</v>
      </c>
      <c r="F1973">
        <v>693.65</v>
      </c>
      <c r="G1973" s="19">
        <v>45422</v>
      </c>
      <c r="H1973">
        <v>-9.71625667057139</v>
      </c>
    </row>
    <row r="1974" spans="1:8" x14ac:dyDescent="0.25">
      <c r="A1974" t="s">
        <v>276</v>
      </c>
      <c r="B1974" t="s">
        <v>383</v>
      </c>
      <c r="C1974">
        <v>25</v>
      </c>
      <c r="D1974">
        <v>626.85</v>
      </c>
      <c r="E1974" s="19">
        <v>45364</v>
      </c>
      <c r="F1974">
        <v>747.45</v>
      </c>
      <c r="G1974" s="19">
        <v>45404</v>
      </c>
      <c r="H1974">
        <v>-19.239052404881551</v>
      </c>
    </row>
    <row r="1975" spans="1:8" x14ac:dyDescent="0.25">
      <c r="A1975" t="s">
        <v>276</v>
      </c>
      <c r="B1975" t="s">
        <v>385</v>
      </c>
      <c r="C1975">
        <v>10</v>
      </c>
      <c r="D1975">
        <v>774.05</v>
      </c>
      <c r="E1975" s="19">
        <v>45349</v>
      </c>
      <c r="F1975">
        <v>729.75</v>
      </c>
      <c r="G1975" s="19">
        <v>45362</v>
      </c>
      <c r="H1975">
        <v>-5.7231444997093162</v>
      </c>
    </row>
    <row r="1976" spans="1:8" x14ac:dyDescent="0.25">
      <c r="A1976" t="s">
        <v>276</v>
      </c>
      <c r="B1976" t="s">
        <v>383</v>
      </c>
      <c r="C1976">
        <v>5</v>
      </c>
      <c r="D1976">
        <v>746.25</v>
      </c>
      <c r="E1976" s="19">
        <v>45341</v>
      </c>
      <c r="F1976">
        <v>751.1</v>
      </c>
      <c r="G1976" s="19">
        <v>45345</v>
      </c>
      <c r="H1976">
        <v>-0.64991624790620073</v>
      </c>
    </row>
    <row r="1977" spans="1:8" x14ac:dyDescent="0.25">
      <c r="A1977" t="s">
        <v>276</v>
      </c>
      <c r="B1977" t="s">
        <v>385</v>
      </c>
      <c r="C1977">
        <v>388</v>
      </c>
      <c r="D1977">
        <v>180.85</v>
      </c>
      <c r="E1977" s="19">
        <v>44767</v>
      </c>
      <c r="F1977">
        <v>739.3</v>
      </c>
      <c r="G1977" s="19">
        <v>45337</v>
      </c>
      <c r="H1977">
        <v>308.79181642244947</v>
      </c>
    </row>
    <row r="1978" spans="1:8" x14ac:dyDescent="0.25">
      <c r="A1978" t="s">
        <v>277</v>
      </c>
      <c r="B1978" t="s">
        <v>385</v>
      </c>
      <c r="C1978">
        <v>17</v>
      </c>
      <c r="D1978">
        <v>667.55</v>
      </c>
      <c r="E1978" s="19">
        <v>45637</v>
      </c>
      <c r="F1978">
        <v>629.79999999999995</v>
      </c>
      <c r="G1978" s="19">
        <v>45660</v>
      </c>
      <c r="H1978">
        <v>-5.6550071155718671</v>
      </c>
    </row>
    <row r="1979" spans="1:8" x14ac:dyDescent="0.25">
      <c r="A1979" t="s">
        <v>277</v>
      </c>
      <c r="B1979" t="s">
        <v>383</v>
      </c>
      <c r="C1979">
        <v>44</v>
      </c>
      <c r="D1979">
        <v>613.5</v>
      </c>
      <c r="E1979" s="19">
        <v>45572</v>
      </c>
      <c r="F1979">
        <v>657</v>
      </c>
      <c r="G1979" s="19">
        <v>45635</v>
      </c>
      <c r="H1979">
        <v>-7.0904645476772608</v>
      </c>
    </row>
    <row r="1980" spans="1:8" x14ac:dyDescent="0.25">
      <c r="A1980" t="s">
        <v>277</v>
      </c>
      <c r="B1980" t="s">
        <v>385</v>
      </c>
      <c r="C1980">
        <v>69</v>
      </c>
      <c r="D1980">
        <v>563.1</v>
      </c>
      <c r="E1980" s="19">
        <v>45469</v>
      </c>
      <c r="F1980">
        <v>659.15</v>
      </c>
      <c r="G1980" s="19">
        <v>45568</v>
      </c>
      <c r="H1980">
        <v>17.05736103711596</v>
      </c>
    </row>
    <row r="1981" spans="1:8" x14ac:dyDescent="0.25">
      <c r="A1981" t="s">
        <v>277</v>
      </c>
      <c r="B1981" t="s">
        <v>383</v>
      </c>
      <c r="C1981">
        <v>88</v>
      </c>
      <c r="D1981">
        <v>626.25</v>
      </c>
      <c r="E1981" s="19">
        <v>45336</v>
      </c>
      <c r="F1981">
        <v>580.6</v>
      </c>
      <c r="G1981" s="19">
        <v>45467</v>
      </c>
      <c r="H1981">
        <v>7.2894211576846262</v>
      </c>
    </row>
    <row r="1982" spans="1:8" x14ac:dyDescent="0.25">
      <c r="A1982" t="s">
        <v>277</v>
      </c>
      <c r="B1982" t="s">
        <v>385</v>
      </c>
      <c r="C1982">
        <v>213</v>
      </c>
      <c r="D1982">
        <v>310.3</v>
      </c>
      <c r="E1982" s="19">
        <v>45021</v>
      </c>
      <c r="F1982">
        <v>582.54999999999995</v>
      </c>
      <c r="G1982" s="19">
        <v>45334</v>
      </c>
      <c r="H1982">
        <v>87.737673219465023</v>
      </c>
    </row>
    <row r="1983" spans="1:8" x14ac:dyDescent="0.25">
      <c r="A1983" t="s">
        <v>278</v>
      </c>
      <c r="B1983" t="s">
        <v>383</v>
      </c>
      <c r="C1983">
        <v>34</v>
      </c>
      <c r="D1983">
        <v>3519.4</v>
      </c>
      <c r="E1983" s="19">
        <v>45610</v>
      </c>
      <c r="F1983">
        <v>3200.35</v>
      </c>
      <c r="G1983" s="19">
        <v>45660</v>
      </c>
      <c r="H1983">
        <v>9.0654657043814346</v>
      </c>
    </row>
    <row r="1984" spans="1:8" x14ac:dyDescent="0.25">
      <c r="A1984" t="s">
        <v>278</v>
      </c>
      <c r="B1984" t="s">
        <v>385</v>
      </c>
      <c r="C1984">
        <v>3</v>
      </c>
      <c r="D1984">
        <v>3618.25</v>
      </c>
      <c r="E1984" s="19">
        <v>45604</v>
      </c>
      <c r="F1984">
        <v>3540.45</v>
      </c>
      <c r="G1984" s="19">
        <v>45608</v>
      </c>
      <c r="H1984">
        <v>-2.1502107372348558</v>
      </c>
    </row>
    <row r="1985" spans="1:8" x14ac:dyDescent="0.25">
      <c r="A1985" t="s">
        <v>278</v>
      </c>
      <c r="B1985" t="s">
        <v>383</v>
      </c>
      <c r="C1985">
        <v>18</v>
      </c>
      <c r="D1985">
        <v>3607.95</v>
      </c>
      <c r="E1985" s="19">
        <v>45579</v>
      </c>
      <c r="F1985">
        <v>3681.55</v>
      </c>
      <c r="G1985" s="19">
        <v>45602</v>
      </c>
      <c r="H1985">
        <v>-2.0399395778766438</v>
      </c>
    </row>
    <row r="1986" spans="1:8" x14ac:dyDescent="0.25">
      <c r="A1986" t="s">
        <v>278</v>
      </c>
      <c r="B1986" t="s">
        <v>385</v>
      </c>
      <c r="C1986">
        <v>111</v>
      </c>
      <c r="D1986">
        <v>3199</v>
      </c>
      <c r="E1986" s="19">
        <v>45415</v>
      </c>
      <c r="F1986">
        <v>3540.5</v>
      </c>
      <c r="G1986" s="19">
        <v>45575</v>
      </c>
      <c r="H1986">
        <v>10.675211003438569</v>
      </c>
    </row>
    <row r="1987" spans="1:8" x14ac:dyDescent="0.25">
      <c r="A1987" t="s">
        <v>278</v>
      </c>
      <c r="B1987" t="s">
        <v>383</v>
      </c>
      <c r="C1987">
        <v>52</v>
      </c>
      <c r="D1987">
        <v>3022.35</v>
      </c>
      <c r="E1987" s="19">
        <v>45335</v>
      </c>
      <c r="F1987">
        <v>3159.65</v>
      </c>
      <c r="G1987" s="19">
        <v>45412</v>
      </c>
      <c r="H1987">
        <v>-4.5428226380134724</v>
      </c>
    </row>
    <row r="1988" spans="1:8" x14ac:dyDescent="0.25">
      <c r="A1988" t="s">
        <v>278</v>
      </c>
      <c r="B1988" t="s">
        <v>385</v>
      </c>
      <c r="C1988">
        <v>1</v>
      </c>
      <c r="D1988">
        <v>3187.45</v>
      </c>
      <c r="E1988" s="19">
        <v>45331</v>
      </c>
      <c r="F1988">
        <v>3187.45</v>
      </c>
      <c r="G1988" s="19">
        <v>45331</v>
      </c>
      <c r="H1988">
        <v>0</v>
      </c>
    </row>
    <row r="1989" spans="1:8" x14ac:dyDescent="0.25">
      <c r="A1989" t="s">
        <v>278</v>
      </c>
      <c r="B1989" t="s">
        <v>383</v>
      </c>
      <c r="C1989">
        <v>7</v>
      </c>
      <c r="D1989">
        <v>3232</v>
      </c>
      <c r="E1989" s="19">
        <v>45321</v>
      </c>
      <c r="F1989">
        <v>3476.5</v>
      </c>
      <c r="G1989" s="19">
        <v>45329</v>
      </c>
      <c r="H1989">
        <v>-7.5649752475247523</v>
      </c>
    </row>
    <row r="1990" spans="1:8" x14ac:dyDescent="0.25">
      <c r="A1990" t="s">
        <v>278</v>
      </c>
      <c r="B1990" t="s">
        <v>385</v>
      </c>
      <c r="C1990">
        <v>191</v>
      </c>
      <c r="D1990">
        <v>2155.0500000000002</v>
      </c>
      <c r="E1990" s="19">
        <v>45040</v>
      </c>
      <c r="F1990">
        <v>3186.9</v>
      </c>
      <c r="G1990" s="19">
        <v>45316</v>
      </c>
      <c r="H1990">
        <v>47.880559615786169</v>
      </c>
    </row>
    <row r="1991" spans="1:8" x14ac:dyDescent="0.25">
      <c r="A1991" t="s">
        <v>279</v>
      </c>
      <c r="B1991" t="s">
        <v>383</v>
      </c>
      <c r="C1991">
        <v>81</v>
      </c>
      <c r="D1991">
        <v>1462.45</v>
      </c>
      <c r="E1991" s="19">
        <v>45544</v>
      </c>
      <c r="F1991">
        <v>1251.1500000000001</v>
      </c>
      <c r="G1991" s="19">
        <v>45660</v>
      </c>
      <c r="H1991">
        <v>14.44835720879346</v>
      </c>
    </row>
    <row r="1992" spans="1:8" x14ac:dyDescent="0.25">
      <c r="A1992" t="s">
        <v>279</v>
      </c>
      <c r="B1992" t="s">
        <v>385</v>
      </c>
      <c r="C1992">
        <v>2</v>
      </c>
      <c r="D1992">
        <v>1514.55</v>
      </c>
      <c r="E1992" s="19">
        <v>45539</v>
      </c>
      <c r="F1992">
        <v>1492.98</v>
      </c>
      <c r="G1992" s="19">
        <v>45540</v>
      </c>
      <c r="H1992">
        <v>-1.4241854016044331</v>
      </c>
    </row>
    <row r="1993" spans="1:8" x14ac:dyDescent="0.25">
      <c r="A1993" t="s">
        <v>279</v>
      </c>
      <c r="B1993" t="s">
        <v>383</v>
      </c>
      <c r="C1993">
        <v>16</v>
      </c>
      <c r="D1993">
        <v>1474.3</v>
      </c>
      <c r="E1993" s="19">
        <v>45513</v>
      </c>
      <c r="F1993">
        <v>1516.25</v>
      </c>
      <c r="G1993" s="19">
        <v>45537</v>
      </c>
      <c r="H1993">
        <v>-2.8454181645526719</v>
      </c>
    </row>
    <row r="1994" spans="1:8" x14ac:dyDescent="0.25">
      <c r="A1994" t="s">
        <v>279</v>
      </c>
      <c r="B1994" t="s">
        <v>385</v>
      </c>
      <c r="C1994">
        <v>40</v>
      </c>
      <c r="D1994">
        <v>1456.68</v>
      </c>
      <c r="E1994" s="19">
        <v>45454</v>
      </c>
      <c r="F1994">
        <v>1464.83</v>
      </c>
      <c r="G1994" s="19">
        <v>45511</v>
      </c>
      <c r="H1994">
        <v>0.55949144630254155</v>
      </c>
    </row>
    <row r="1995" spans="1:8" x14ac:dyDescent="0.25">
      <c r="A1995" t="s">
        <v>279</v>
      </c>
      <c r="B1995" t="s">
        <v>383</v>
      </c>
      <c r="C1995">
        <v>2</v>
      </c>
      <c r="D1995">
        <v>1431.6</v>
      </c>
      <c r="E1995" s="19">
        <v>45449</v>
      </c>
      <c r="F1995">
        <v>1469.95</v>
      </c>
      <c r="G1995" s="19">
        <v>45450</v>
      </c>
      <c r="H1995">
        <v>-2.6788208996926608</v>
      </c>
    </row>
    <row r="1996" spans="1:8" x14ac:dyDescent="0.25">
      <c r="A1996" t="s">
        <v>279</v>
      </c>
      <c r="B1996" t="s">
        <v>385</v>
      </c>
      <c r="C1996">
        <v>1</v>
      </c>
      <c r="D1996">
        <v>1397.28</v>
      </c>
      <c r="E1996" s="19">
        <v>45447</v>
      </c>
      <c r="F1996">
        <v>1397.28</v>
      </c>
      <c r="G1996" s="19">
        <v>45447</v>
      </c>
      <c r="H1996">
        <v>0</v>
      </c>
    </row>
    <row r="1997" spans="1:8" x14ac:dyDescent="0.25">
      <c r="A1997" t="s">
        <v>279</v>
      </c>
      <c r="B1997" t="s">
        <v>383</v>
      </c>
      <c r="C1997">
        <v>0</v>
      </c>
      <c r="D1997">
        <v>1183.22</v>
      </c>
      <c r="E1997" s="19">
        <v>44795</v>
      </c>
      <c r="F1997">
        <v>1430.4</v>
      </c>
      <c r="G1997" s="19">
        <v>45443</v>
      </c>
      <c r="H1997">
        <v>-20.890451479860051</v>
      </c>
    </row>
    <row r="1998" spans="1:8" x14ac:dyDescent="0.25">
      <c r="A1998" t="s">
        <v>279</v>
      </c>
      <c r="B1998" t="s">
        <v>385</v>
      </c>
      <c r="C1998">
        <v>2</v>
      </c>
      <c r="D1998">
        <v>1440.78</v>
      </c>
      <c r="E1998" s="19">
        <v>45441</v>
      </c>
      <c r="F1998">
        <v>1424.85</v>
      </c>
      <c r="G1998" s="19">
        <v>45442</v>
      </c>
      <c r="H1998">
        <v>-1.10565110565111</v>
      </c>
    </row>
    <row r="1999" spans="1:8" x14ac:dyDescent="0.25">
      <c r="A1999" t="s">
        <v>279</v>
      </c>
      <c r="B1999" t="s">
        <v>383</v>
      </c>
      <c r="C1999">
        <v>12</v>
      </c>
      <c r="D1999">
        <v>1407.43</v>
      </c>
      <c r="E1999" s="19">
        <v>45422</v>
      </c>
      <c r="F1999">
        <v>1466.25</v>
      </c>
      <c r="G1999" s="19">
        <v>45439</v>
      </c>
      <c r="H1999">
        <v>-4.1792487015339974</v>
      </c>
    </row>
    <row r="2000" spans="1:8" x14ac:dyDescent="0.25">
      <c r="A2000" t="s">
        <v>279</v>
      </c>
      <c r="B2000" t="s">
        <v>385</v>
      </c>
      <c r="C2000">
        <v>109</v>
      </c>
      <c r="D2000">
        <v>1200.3499999999999</v>
      </c>
      <c r="E2000" s="19">
        <v>45259</v>
      </c>
      <c r="F2000">
        <v>1418.55</v>
      </c>
      <c r="G2000" s="19">
        <v>45420</v>
      </c>
      <c r="H2000">
        <v>18.17803140750615</v>
      </c>
    </row>
    <row r="2001" spans="1:8" x14ac:dyDescent="0.25">
      <c r="A2001" t="s">
        <v>279</v>
      </c>
      <c r="B2001" t="s">
        <v>383</v>
      </c>
      <c r="C2001">
        <v>45</v>
      </c>
      <c r="D2001">
        <v>1182.4000000000001</v>
      </c>
      <c r="E2001" s="19">
        <v>45190</v>
      </c>
      <c r="F2001">
        <v>1196.95</v>
      </c>
      <c r="G2001" s="19">
        <v>45254</v>
      </c>
      <c r="H2001">
        <v>-1.230548037889035</v>
      </c>
    </row>
    <row r="2002" spans="1:8" x14ac:dyDescent="0.25">
      <c r="A2002" t="s">
        <v>279</v>
      </c>
      <c r="B2002" t="s">
        <v>385</v>
      </c>
      <c r="C2002">
        <v>98</v>
      </c>
      <c r="D2002">
        <v>1108.07</v>
      </c>
      <c r="E2002" s="19">
        <v>45048</v>
      </c>
      <c r="F2002">
        <v>1218.23</v>
      </c>
      <c r="G2002" s="19">
        <v>45187</v>
      </c>
      <c r="H2002">
        <v>9.9416101870820519</v>
      </c>
    </row>
    <row r="2003" spans="1:8" x14ac:dyDescent="0.25">
      <c r="A2003" t="s">
        <v>280</v>
      </c>
      <c r="B2003" t="s">
        <v>383</v>
      </c>
      <c r="C2003">
        <v>58</v>
      </c>
      <c r="D2003">
        <v>497.55</v>
      </c>
      <c r="E2003" s="19">
        <v>45576</v>
      </c>
      <c r="F2003">
        <v>435.8</v>
      </c>
      <c r="G2003" s="19">
        <v>45660</v>
      </c>
      <c r="H2003">
        <v>12.41081298361974</v>
      </c>
    </row>
    <row r="2004" spans="1:8" x14ac:dyDescent="0.25">
      <c r="A2004" t="s">
        <v>280</v>
      </c>
      <c r="B2004" t="s">
        <v>385</v>
      </c>
      <c r="C2004">
        <v>22</v>
      </c>
      <c r="D2004">
        <v>533.65</v>
      </c>
      <c r="E2004" s="19">
        <v>45544</v>
      </c>
      <c r="F2004">
        <v>500.6</v>
      </c>
      <c r="G2004" s="19">
        <v>45574</v>
      </c>
      <c r="H2004">
        <v>-6.193197788812884</v>
      </c>
    </row>
    <row r="2005" spans="1:8" x14ac:dyDescent="0.25">
      <c r="A2005" t="s">
        <v>280</v>
      </c>
      <c r="B2005" t="s">
        <v>383</v>
      </c>
      <c r="C2005">
        <v>20</v>
      </c>
      <c r="D2005">
        <v>452.05</v>
      </c>
      <c r="E2005" s="19">
        <v>45512</v>
      </c>
      <c r="F2005">
        <v>535.25</v>
      </c>
      <c r="G2005" s="19">
        <v>45540</v>
      </c>
      <c r="H2005">
        <v>-18.405043689857319</v>
      </c>
    </row>
    <row r="2006" spans="1:8" x14ac:dyDescent="0.25">
      <c r="A2006" t="s">
        <v>280</v>
      </c>
      <c r="B2006" t="s">
        <v>385</v>
      </c>
      <c r="C2006">
        <v>81</v>
      </c>
      <c r="D2006">
        <v>438.7</v>
      </c>
      <c r="E2006" s="19">
        <v>45391</v>
      </c>
      <c r="F2006">
        <v>466.2</v>
      </c>
      <c r="G2006" s="19">
        <v>45510</v>
      </c>
      <c r="H2006">
        <v>6.2685206291315261</v>
      </c>
    </row>
    <row r="2007" spans="1:8" x14ac:dyDescent="0.25">
      <c r="A2007" t="s">
        <v>280</v>
      </c>
      <c r="B2007" t="s">
        <v>383</v>
      </c>
      <c r="C2007">
        <v>15</v>
      </c>
      <c r="D2007">
        <v>405.85</v>
      </c>
      <c r="E2007" s="19">
        <v>45365</v>
      </c>
      <c r="F2007">
        <v>441.3</v>
      </c>
      <c r="G2007" s="19">
        <v>45387</v>
      </c>
      <c r="H2007">
        <v>-8.7347542195392354</v>
      </c>
    </row>
    <row r="2008" spans="1:8" x14ac:dyDescent="0.25">
      <c r="A2008" t="s">
        <v>280</v>
      </c>
      <c r="B2008" t="s">
        <v>385</v>
      </c>
      <c r="C2008">
        <v>47</v>
      </c>
      <c r="D2008">
        <v>415</v>
      </c>
      <c r="E2008" s="19">
        <v>45296</v>
      </c>
      <c r="F2008">
        <v>404.45</v>
      </c>
      <c r="G2008" s="19">
        <v>45363</v>
      </c>
      <c r="H2008">
        <v>-2.5421686746987979</v>
      </c>
    </row>
    <row r="2009" spans="1:8" x14ac:dyDescent="0.25">
      <c r="A2009" t="s">
        <v>280</v>
      </c>
      <c r="B2009" t="s">
        <v>383</v>
      </c>
      <c r="C2009">
        <v>9</v>
      </c>
      <c r="D2009">
        <v>397</v>
      </c>
      <c r="E2009" s="19">
        <v>45281</v>
      </c>
      <c r="F2009">
        <v>412.35</v>
      </c>
      <c r="G2009" s="19">
        <v>45294</v>
      </c>
      <c r="H2009">
        <v>-3.866498740554162</v>
      </c>
    </row>
    <row r="2010" spans="1:8" x14ac:dyDescent="0.25">
      <c r="A2010" t="s">
        <v>280</v>
      </c>
      <c r="B2010" t="s">
        <v>385</v>
      </c>
      <c r="C2010">
        <v>151</v>
      </c>
      <c r="D2010">
        <v>209</v>
      </c>
      <c r="E2010" s="19">
        <v>45061</v>
      </c>
      <c r="F2010">
        <v>399.45</v>
      </c>
      <c r="G2010" s="19">
        <v>45279</v>
      </c>
      <c r="H2010">
        <v>91.124401913875602</v>
      </c>
    </row>
    <row r="2011" spans="1:8" x14ac:dyDescent="0.25">
      <c r="A2011" t="s">
        <v>281</v>
      </c>
      <c r="B2011" t="s">
        <v>383</v>
      </c>
      <c r="C2011">
        <v>9</v>
      </c>
      <c r="D2011">
        <v>249.2</v>
      </c>
      <c r="E2011" s="19">
        <v>45649</v>
      </c>
      <c r="F2011">
        <v>267.06</v>
      </c>
      <c r="G2011" s="19">
        <v>45660</v>
      </c>
      <c r="H2011">
        <v>-7.1669341894061063</v>
      </c>
    </row>
    <row r="2012" spans="1:8" x14ac:dyDescent="0.25">
      <c r="A2012" t="s">
        <v>281</v>
      </c>
      <c r="B2012" t="s">
        <v>385</v>
      </c>
      <c r="C2012">
        <v>4</v>
      </c>
      <c r="D2012">
        <v>270.10000000000002</v>
      </c>
      <c r="E2012" s="19">
        <v>45642</v>
      </c>
      <c r="F2012">
        <v>263</v>
      </c>
      <c r="G2012" s="19">
        <v>45645</v>
      </c>
      <c r="H2012">
        <v>-2.6286560533135961</v>
      </c>
    </row>
    <row r="2013" spans="1:8" x14ac:dyDescent="0.25">
      <c r="A2013" t="s">
        <v>281</v>
      </c>
      <c r="B2013" t="s">
        <v>383</v>
      </c>
      <c r="C2013">
        <v>103</v>
      </c>
      <c r="D2013">
        <v>280.7</v>
      </c>
      <c r="E2013" s="19">
        <v>45489</v>
      </c>
      <c r="F2013">
        <v>281.8</v>
      </c>
      <c r="G2013" s="19">
        <v>45638</v>
      </c>
      <c r="H2013">
        <v>-0.39187744923406592</v>
      </c>
    </row>
    <row r="2014" spans="1:8" x14ac:dyDescent="0.25">
      <c r="A2014" t="s">
        <v>281</v>
      </c>
      <c r="B2014" t="s">
        <v>385</v>
      </c>
      <c r="C2014">
        <v>35</v>
      </c>
      <c r="D2014">
        <v>313.7</v>
      </c>
      <c r="E2014" s="19">
        <v>45436</v>
      </c>
      <c r="F2014">
        <v>285.39999999999998</v>
      </c>
      <c r="G2014" s="19">
        <v>45485</v>
      </c>
      <c r="H2014">
        <v>-9.0213579853363122</v>
      </c>
    </row>
    <row r="2015" spans="1:8" x14ac:dyDescent="0.25">
      <c r="A2015" t="s">
        <v>281</v>
      </c>
      <c r="B2015" t="s">
        <v>383</v>
      </c>
      <c r="C2015">
        <v>100</v>
      </c>
      <c r="D2015">
        <v>310</v>
      </c>
      <c r="E2015" s="19">
        <v>45287</v>
      </c>
      <c r="F2015">
        <v>302.75</v>
      </c>
      <c r="G2015" s="19">
        <v>45434</v>
      </c>
      <c r="H2015">
        <v>2.338709677419355</v>
      </c>
    </row>
    <row r="2016" spans="1:8" x14ac:dyDescent="0.25">
      <c r="A2016" t="s">
        <v>281</v>
      </c>
      <c r="B2016" t="s">
        <v>385</v>
      </c>
      <c r="C2016">
        <v>176</v>
      </c>
      <c r="D2016">
        <v>132.85</v>
      </c>
      <c r="E2016" s="19">
        <v>45027</v>
      </c>
      <c r="F2016">
        <v>307.14999999999998</v>
      </c>
      <c r="G2016" s="19">
        <v>45282</v>
      </c>
      <c r="H2016">
        <v>131.20060218291309</v>
      </c>
    </row>
    <row r="2017" spans="1:8" x14ac:dyDescent="0.25">
      <c r="A2017" t="s">
        <v>282</v>
      </c>
      <c r="B2017" t="s">
        <v>383</v>
      </c>
      <c r="C2017">
        <v>62</v>
      </c>
      <c r="D2017">
        <v>295.85000000000002</v>
      </c>
      <c r="E2017" s="19">
        <v>45572</v>
      </c>
      <c r="F2017">
        <v>295.2</v>
      </c>
      <c r="G2017" s="19">
        <v>45660</v>
      </c>
      <c r="H2017">
        <v>0.21970593206017711</v>
      </c>
    </row>
    <row r="2018" spans="1:8" x14ac:dyDescent="0.25">
      <c r="A2018" t="s">
        <v>282</v>
      </c>
      <c r="B2018" t="s">
        <v>385</v>
      </c>
      <c r="C2018">
        <v>8</v>
      </c>
      <c r="D2018">
        <v>363.8</v>
      </c>
      <c r="E2018" s="19">
        <v>45558</v>
      </c>
      <c r="F2018">
        <v>320.85000000000002</v>
      </c>
      <c r="G2018" s="19">
        <v>45568</v>
      </c>
      <c r="H2018">
        <v>-11.805937328202299</v>
      </c>
    </row>
    <row r="2019" spans="1:8" x14ac:dyDescent="0.25">
      <c r="A2019" t="s">
        <v>282</v>
      </c>
      <c r="B2019" t="s">
        <v>383</v>
      </c>
      <c r="C2019">
        <v>27</v>
      </c>
      <c r="D2019">
        <v>334.4</v>
      </c>
      <c r="E2019" s="19">
        <v>45517</v>
      </c>
      <c r="F2019">
        <v>341.73</v>
      </c>
      <c r="G2019" s="19">
        <v>45554</v>
      </c>
      <c r="H2019">
        <v>-2.191985645933026</v>
      </c>
    </row>
    <row r="2020" spans="1:8" x14ac:dyDescent="0.25">
      <c r="A2020" t="s">
        <v>282</v>
      </c>
      <c r="B2020" t="s">
        <v>385</v>
      </c>
      <c r="C2020">
        <v>35</v>
      </c>
      <c r="D2020">
        <v>354.4</v>
      </c>
      <c r="E2020" s="19">
        <v>45464</v>
      </c>
      <c r="F2020">
        <v>342.58</v>
      </c>
      <c r="G2020" s="19">
        <v>45513</v>
      </c>
      <c r="H2020">
        <v>-3.3352144469525942</v>
      </c>
    </row>
    <row r="2021" spans="1:8" x14ac:dyDescent="0.25">
      <c r="A2021" t="s">
        <v>282</v>
      </c>
      <c r="B2021" t="s">
        <v>383</v>
      </c>
      <c r="C2021">
        <v>8</v>
      </c>
      <c r="D2021">
        <v>325.39999999999998</v>
      </c>
      <c r="E2021" s="19">
        <v>45450</v>
      </c>
      <c r="F2021">
        <v>346.03</v>
      </c>
      <c r="G2021" s="19">
        <v>45462</v>
      </c>
      <c r="H2021">
        <v>-6.3398893669330043</v>
      </c>
    </row>
    <row r="2022" spans="1:8" x14ac:dyDescent="0.25">
      <c r="A2022" t="s">
        <v>282</v>
      </c>
      <c r="B2022" t="s">
        <v>385</v>
      </c>
      <c r="C2022">
        <v>11</v>
      </c>
      <c r="D2022">
        <v>366.15</v>
      </c>
      <c r="E2022" s="19">
        <v>45434</v>
      </c>
      <c r="F2022">
        <v>303.73</v>
      </c>
      <c r="G2022" s="19">
        <v>45448</v>
      </c>
      <c r="H2022">
        <v>-17.047658063635112</v>
      </c>
    </row>
    <row r="2023" spans="1:8" x14ac:dyDescent="0.25">
      <c r="A2023" t="s">
        <v>282</v>
      </c>
      <c r="B2023" t="s">
        <v>383</v>
      </c>
      <c r="C2023">
        <v>20</v>
      </c>
      <c r="D2023">
        <v>332.2</v>
      </c>
      <c r="E2023" s="19">
        <v>45404</v>
      </c>
      <c r="F2023">
        <v>357.95</v>
      </c>
      <c r="G2023" s="19">
        <v>45430</v>
      </c>
      <c r="H2023">
        <v>-7.7513546056592411</v>
      </c>
    </row>
    <row r="2024" spans="1:8" x14ac:dyDescent="0.25">
      <c r="A2024" t="s">
        <v>282</v>
      </c>
      <c r="B2024" t="s">
        <v>385</v>
      </c>
      <c r="C2024">
        <v>89</v>
      </c>
      <c r="D2024">
        <v>238.03</v>
      </c>
      <c r="E2024" s="19">
        <v>45268</v>
      </c>
      <c r="F2024">
        <v>326</v>
      </c>
      <c r="G2024" s="19">
        <v>45400</v>
      </c>
      <c r="H2024">
        <v>36.957526362223248</v>
      </c>
    </row>
    <row r="2025" spans="1:8" x14ac:dyDescent="0.25">
      <c r="A2025" t="s">
        <v>282</v>
      </c>
      <c r="B2025" t="s">
        <v>383</v>
      </c>
      <c r="C2025">
        <v>26</v>
      </c>
      <c r="D2025">
        <v>225.78</v>
      </c>
      <c r="E2025" s="19">
        <v>45230</v>
      </c>
      <c r="F2025">
        <v>238.33</v>
      </c>
      <c r="G2025" s="19">
        <v>45266</v>
      </c>
      <c r="H2025">
        <v>-5.5585082823988001</v>
      </c>
    </row>
    <row r="2026" spans="1:8" x14ac:dyDescent="0.25">
      <c r="A2026" t="s">
        <v>282</v>
      </c>
      <c r="B2026" t="s">
        <v>385</v>
      </c>
      <c r="C2026">
        <v>72</v>
      </c>
      <c r="D2026">
        <v>195.13</v>
      </c>
      <c r="E2026" s="19">
        <v>45121</v>
      </c>
      <c r="F2026">
        <v>230.2</v>
      </c>
      <c r="G2026" s="19">
        <v>45226</v>
      </c>
      <c r="H2026">
        <v>17.972633628862809</v>
      </c>
    </row>
    <row r="2027" spans="1:8" x14ac:dyDescent="0.25">
      <c r="A2027" t="s">
        <v>282</v>
      </c>
      <c r="B2027" t="s">
        <v>383</v>
      </c>
      <c r="C2027">
        <v>2</v>
      </c>
      <c r="D2027">
        <v>191</v>
      </c>
      <c r="E2027" s="19">
        <v>45118</v>
      </c>
      <c r="F2027">
        <v>197.85</v>
      </c>
      <c r="G2027" s="19">
        <v>45119</v>
      </c>
      <c r="H2027">
        <v>-3.5863874345549709</v>
      </c>
    </row>
    <row r="2028" spans="1:8" x14ac:dyDescent="0.25">
      <c r="A2028" t="s">
        <v>282</v>
      </c>
      <c r="B2028" t="s">
        <v>385</v>
      </c>
      <c r="C2028">
        <v>80</v>
      </c>
      <c r="D2028">
        <v>183.08</v>
      </c>
      <c r="E2028" s="19">
        <v>44995</v>
      </c>
      <c r="F2028">
        <v>188.75</v>
      </c>
      <c r="G2028" s="19">
        <v>45114</v>
      </c>
      <c r="H2028">
        <v>3.0970067729954049</v>
      </c>
    </row>
    <row r="2029" spans="1:8" x14ac:dyDescent="0.25">
      <c r="A2029" t="s">
        <v>283</v>
      </c>
      <c r="B2029" t="s">
        <v>383</v>
      </c>
      <c r="C2029">
        <v>55</v>
      </c>
      <c r="D2029">
        <v>873.85</v>
      </c>
      <c r="E2029" s="19">
        <v>45581</v>
      </c>
      <c r="F2029">
        <v>799.5</v>
      </c>
      <c r="G2029" s="19">
        <v>45660</v>
      </c>
      <c r="H2029">
        <v>8.5083252274417838</v>
      </c>
    </row>
    <row r="2030" spans="1:8" x14ac:dyDescent="0.25">
      <c r="A2030" t="s">
        <v>283</v>
      </c>
      <c r="B2030" t="s">
        <v>385</v>
      </c>
      <c r="C2030">
        <v>81</v>
      </c>
      <c r="D2030">
        <v>764.4</v>
      </c>
      <c r="E2030" s="19">
        <v>45462</v>
      </c>
      <c r="F2030">
        <v>862.45</v>
      </c>
      <c r="G2030" s="19">
        <v>45579</v>
      </c>
      <c r="H2030">
        <v>12.827053898482481</v>
      </c>
    </row>
    <row r="2031" spans="1:8" x14ac:dyDescent="0.25">
      <c r="A2031" t="s">
        <v>283</v>
      </c>
      <c r="B2031" t="s">
        <v>383</v>
      </c>
      <c r="C2031">
        <v>24</v>
      </c>
      <c r="D2031">
        <v>699.95</v>
      </c>
      <c r="E2031" s="19">
        <v>45426</v>
      </c>
      <c r="F2031">
        <v>769.25</v>
      </c>
      <c r="G2031" s="19">
        <v>45457</v>
      </c>
      <c r="H2031">
        <v>-9.9007071933709465</v>
      </c>
    </row>
    <row r="2032" spans="1:8" x14ac:dyDescent="0.25">
      <c r="A2032" t="s">
        <v>283</v>
      </c>
      <c r="B2032" t="s">
        <v>385</v>
      </c>
      <c r="C2032">
        <v>9</v>
      </c>
      <c r="D2032">
        <v>780.3</v>
      </c>
      <c r="E2032" s="19">
        <v>45411</v>
      </c>
      <c r="F2032">
        <v>709.9</v>
      </c>
      <c r="G2032" s="19">
        <v>45422</v>
      </c>
      <c r="H2032">
        <v>-9.0221709598872195</v>
      </c>
    </row>
    <row r="2033" spans="1:8" x14ac:dyDescent="0.25">
      <c r="A2033" t="s">
        <v>283</v>
      </c>
      <c r="B2033" t="s">
        <v>383</v>
      </c>
      <c r="C2033">
        <v>54</v>
      </c>
      <c r="D2033">
        <v>778.55</v>
      </c>
      <c r="E2033" s="19">
        <v>45328</v>
      </c>
      <c r="F2033">
        <v>761.6</v>
      </c>
      <c r="G2033" s="19">
        <v>45407</v>
      </c>
      <c r="H2033">
        <v>2.177124141031396</v>
      </c>
    </row>
    <row r="2034" spans="1:8" x14ac:dyDescent="0.25">
      <c r="A2034" t="s">
        <v>283</v>
      </c>
      <c r="B2034" t="s">
        <v>385</v>
      </c>
      <c r="C2034">
        <v>36</v>
      </c>
      <c r="D2034">
        <v>819.8</v>
      </c>
      <c r="E2034" s="19">
        <v>45273</v>
      </c>
      <c r="F2034">
        <v>782</v>
      </c>
      <c r="G2034" s="19">
        <v>45324</v>
      </c>
      <c r="H2034">
        <v>-4.6108807026103884</v>
      </c>
    </row>
    <row r="2035" spans="1:8" x14ac:dyDescent="0.25">
      <c r="A2035" t="s">
        <v>283</v>
      </c>
      <c r="B2035" t="s">
        <v>383</v>
      </c>
      <c r="C2035">
        <v>51</v>
      </c>
      <c r="D2035">
        <v>829.95</v>
      </c>
      <c r="E2035" s="19">
        <v>45196</v>
      </c>
      <c r="F2035">
        <v>816.55</v>
      </c>
      <c r="G2035" s="19">
        <v>45271</v>
      </c>
      <c r="H2035">
        <v>1.614555093680353</v>
      </c>
    </row>
    <row r="2036" spans="1:8" x14ac:dyDescent="0.25">
      <c r="A2036" t="s">
        <v>283</v>
      </c>
      <c r="B2036" t="s">
        <v>385</v>
      </c>
      <c r="C2036">
        <v>12</v>
      </c>
      <c r="D2036">
        <v>864.35</v>
      </c>
      <c r="E2036" s="19">
        <v>45176</v>
      </c>
      <c r="F2036">
        <v>816</v>
      </c>
      <c r="G2036" s="19">
        <v>45194</v>
      </c>
      <c r="H2036">
        <v>-5.5937988083531014</v>
      </c>
    </row>
    <row r="2037" spans="1:8" x14ac:dyDescent="0.25">
      <c r="A2037" t="s">
        <v>283</v>
      </c>
      <c r="B2037" t="s">
        <v>383</v>
      </c>
      <c r="C2037">
        <v>8</v>
      </c>
      <c r="D2037">
        <v>822</v>
      </c>
      <c r="E2037" s="19">
        <v>45163</v>
      </c>
      <c r="F2037">
        <v>855</v>
      </c>
      <c r="G2037" s="19">
        <v>45174</v>
      </c>
      <c r="H2037">
        <v>-4.0145985401459852</v>
      </c>
    </row>
    <row r="2038" spans="1:8" x14ac:dyDescent="0.25">
      <c r="A2038" t="s">
        <v>283</v>
      </c>
      <c r="B2038" t="s">
        <v>385</v>
      </c>
      <c r="C2038">
        <v>86</v>
      </c>
      <c r="D2038">
        <v>686.5</v>
      </c>
      <c r="E2038" s="19">
        <v>45037</v>
      </c>
      <c r="F2038">
        <v>805.5</v>
      </c>
      <c r="G2038" s="19">
        <v>45161</v>
      </c>
      <c r="H2038">
        <v>17.334304442825928</v>
      </c>
    </row>
    <row r="2039" spans="1:8" x14ac:dyDescent="0.25">
      <c r="A2039" t="s">
        <v>284</v>
      </c>
      <c r="B2039" t="s">
        <v>385</v>
      </c>
      <c r="C2039">
        <v>17</v>
      </c>
      <c r="D2039">
        <v>316.35000000000002</v>
      </c>
      <c r="E2039" s="19">
        <v>45637</v>
      </c>
      <c r="F2039">
        <v>310.60000000000002</v>
      </c>
      <c r="G2039" s="19">
        <v>45660</v>
      </c>
      <c r="H2039">
        <v>-1.817607080764976</v>
      </c>
    </row>
    <row r="2040" spans="1:8" x14ac:dyDescent="0.25">
      <c r="A2040" t="s">
        <v>284</v>
      </c>
      <c r="B2040" t="s">
        <v>383</v>
      </c>
      <c r="C2040">
        <v>63</v>
      </c>
      <c r="D2040">
        <v>278.88</v>
      </c>
      <c r="E2040" s="19">
        <v>45544</v>
      </c>
      <c r="F2040">
        <v>304.35000000000002</v>
      </c>
      <c r="G2040" s="19">
        <v>45635</v>
      </c>
      <c r="H2040">
        <v>-9.1329604130809052</v>
      </c>
    </row>
    <row r="2041" spans="1:8" x14ac:dyDescent="0.25">
      <c r="A2041" t="s">
        <v>284</v>
      </c>
      <c r="B2041" t="s">
        <v>385</v>
      </c>
      <c r="C2041">
        <v>95</v>
      </c>
      <c r="D2041">
        <v>217.03</v>
      </c>
      <c r="E2041" s="19">
        <v>45404</v>
      </c>
      <c r="F2041">
        <v>288.18</v>
      </c>
      <c r="G2041" s="19">
        <v>45540</v>
      </c>
      <c r="H2041">
        <v>32.78348615398793</v>
      </c>
    </row>
    <row r="2042" spans="1:8" x14ac:dyDescent="0.25">
      <c r="A2042" t="s">
        <v>284</v>
      </c>
      <c r="B2042" t="s">
        <v>383</v>
      </c>
      <c r="C2042">
        <v>34</v>
      </c>
      <c r="D2042">
        <v>188.73</v>
      </c>
      <c r="E2042" s="19">
        <v>45349</v>
      </c>
      <c r="F2042">
        <v>198.25</v>
      </c>
      <c r="G2042" s="19">
        <v>45400</v>
      </c>
      <c r="H2042">
        <v>-5.0442430986064801</v>
      </c>
    </row>
    <row r="2043" spans="1:8" x14ac:dyDescent="0.25">
      <c r="A2043" t="s">
        <v>284</v>
      </c>
      <c r="B2043" t="s">
        <v>385</v>
      </c>
      <c r="C2043">
        <v>87</v>
      </c>
      <c r="D2043">
        <v>194.1</v>
      </c>
      <c r="E2043" s="19">
        <v>45219</v>
      </c>
      <c r="F2043">
        <v>196.63</v>
      </c>
      <c r="G2043" s="19">
        <v>45345</v>
      </c>
      <c r="H2043">
        <v>1.3034518289541479</v>
      </c>
    </row>
    <row r="2044" spans="1:8" x14ac:dyDescent="0.25">
      <c r="A2044" t="s">
        <v>284</v>
      </c>
      <c r="B2044" t="s">
        <v>383</v>
      </c>
      <c r="C2044">
        <v>7</v>
      </c>
      <c r="D2044">
        <v>174.88</v>
      </c>
      <c r="E2044" s="19">
        <v>45209</v>
      </c>
      <c r="F2044">
        <v>178</v>
      </c>
      <c r="G2044" s="19">
        <v>45217</v>
      </c>
      <c r="H2044">
        <v>-1.784080512351329</v>
      </c>
    </row>
    <row r="2045" spans="1:8" x14ac:dyDescent="0.25">
      <c r="A2045" t="s">
        <v>284</v>
      </c>
      <c r="B2045" t="s">
        <v>385</v>
      </c>
      <c r="C2045">
        <v>25</v>
      </c>
      <c r="D2045">
        <v>178</v>
      </c>
      <c r="E2045" s="19">
        <v>45169</v>
      </c>
      <c r="F2045">
        <v>175.43</v>
      </c>
      <c r="G2045" s="19">
        <v>45205</v>
      </c>
      <c r="H2045">
        <v>-1.443820224719097</v>
      </c>
    </row>
    <row r="2046" spans="1:8" x14ac:dyDescent="0.25">
      <c r="A2046" t="s">
        <v>284</v>
      </c>
      <c r="B2046" t="s">
        <v>383</v>
      </c>
      <c r="C2046">
        <v>21</v>
      </c>
      <c r="D2046">
        <v>167.83</v>
      </c>
      <c r="E2046" s="19">
        <v>45138</v>
      </c>
      <c r="F2046">
        <v>174.03</v>
      </c>
      <c r="G2046" s="19">
        <v>45167</v>
      </c>
      <c r="H2046">
        <v>-3.6942143836024481</v>
      </c>
    </row>
    <row r="2047" spans="1:8" x14ac:dyDescent="0.25">
      <c r="A2047" t="s">
        <v>284</v>
      </c>
      <c r="B2047" t="s">
        <v>385</v>
      </c>
      <c r="C2047">
        <v>163</v>
      </c>
      <c r="D2047">
        <v>116.4</v>
      </c>
      <c r="E2047" s="19">
        <v>44896</v>
      </c>
      <c r="F2047">
        <v>162.5</v>
      </c>
      <c r="G2047" s="19">
        <v>45134</v>
      </c>
      <c r="H2047">
        <v>39.604810996563558</v>
      </c>
    </row>
    <row r="2048" spans="1:8" x14ac:dyDescent="0.25">
      <c r="A2048" t="s">
        <v>285</v>
      </c>
      <c r="B2048" t="s">
        <v>385</v>
      </c>
      <c r="C2048">
        <v>15</v>
      </c>
      <c r="D2048">
        <v>360.75</v>
      </c>
      <c r="E2048" s="19">
        <v>45639</v>
      </c>
      <c r="F2048">
        <v>381.8</v>
      </c>
      <c r="G2048" s="19">
        <v>45660</v>
      </c>
      <c r="H2048">
        <v>5.835065835065838</v>
      </c>
    </row>
    <row r="2049" spans="1:8" x14ac:dyDescent="0.25">
      <c r="A2049" t="s">
        <v>285</v>
      </c>
      <c r="B2049" t="s">
        <v>383</v>
      </c>
      <c r="C2049">
        <v>45</v>
      </c>
      <c r="D2049">
        <v>352.4</v>
      </c>
      <c r="E2049" s="19">
        <v>45573</v>
      </c>
      <c r="F2049">
        <v>360.85</v>
      </c>
      <c r="G2049" s="19">
        <v>45637</v>
      </c>
      <c r="H2049">
        <v>-2.3978433598184008</v>
      </c>
    </row>
    <row r="2050" spans="1:8" x14ac:dyDescent="0.25">
      <c r="A2050" t="s">
        <v>285</v>
      </c>
      <c r="B2050" t="s">
        <v>385</v>
      </c>
      <c r="C2050">
        <v>24</v>
      </c>
      <c r="D2050">
        <v>366.65</v>
      </c>
      <c r="E2050" s="19">
        <v>45537</v>
      </c>
      <c r="F2050">
        <v>348.55</v>
      </c>
      <c r="G2050" s="19">
        <v>45569</v>
      </c>
      <c r="H2050">
        <v>-4.9365880267284794</v>
      </c>
    </row>
    <row r="2051" spans="1:8" x14ac:dyDescent="0.25">
      <c r="A2051" t="s">
        <v>285</v>
      </c>
      <c r="B2051" t="s">
        <v>383</v>
      </c>
      <c r="C2051">
        <v>75</v>
      </c>
      <c r="D2051">
        <v>365.4</v>
      </c>
      <c r="E2051" s="19">
        <v>45426</v>
      </c>
      <c r="F2051">
        <v>362.8</v>
      </c>
      <c r="G2051" s="19">
        <v>45533</v>
      </c>
      <c r="H2051">
        <v>0.71154898741104711</v>
      </c>
    </row>
    <row r="2052" spans="1:8" x14ac:dyDescent="0.25">
      <c r="A2052" t="s">
        <v>285</v>
      </c>
      <c r="B2052" t="s">
        <v>385</v>
      </c>
      <c r="C2052">
        <v>23</v>
      </c>
      <c r="D2052">
        <v>421.7</v>
      </c>
      <c r="E2052" s="19">
        <v>45387</v>
      </c>
      <c r="F2052">
        <v>379.55</v>
      </c>
      <c r="G2052" s="19">
        <v>45422</v>
      </c>
      <c r="H2052">
        <v>-9.9952572919136777</v>
      </c>
    </row>
    <row r="2053" spans="1:8" x14ac:dyDescent="0.25">
      <c r="A2053" t="s">
        <v>285</v>
      </c>
      <c r="B2053" t="s">
        <v>383</v>
      </c>
      <c r="C2053">
        <v>8</v>
      </c>
      <c r="D2053">
        <v>349</v>
      </c>
      <c r="E2053" s="19">
        <v>45372</v>
      </c>
      <c r="F2053">
        <v>421.15</v>
      </c>
      <c r="G2053" s="19">
        <v>45385</v>
      </c>
      <c r="H2053">
        <v>-20.673352435530081</v>
      </c>
    </row>
    <row r="2054" spans="1:8" x14ac:dyDescent="0.25">
      <c r="A2054" t="s">
        <v>285</v>
      </c>
      <c r="B2054" t="s">
        <v>385</v>
      </c>
      <c r="C2054">
        <v>72</v>
      </c>
      <c r="D2054">
        <v>347.2</v>
      </c>
      <c r="E2054" s="19">
        <v>45267</v>
      </c>
      <c r="F2054">
        <v>340.3</v>
      </c>
      <c r="G2054" s="19">
        <v>45370</v>
      </c>
      <c r="H2054">
        <v>-1.9873271889400861</v>
      </c>
    </row>
    <row r="2055" spans="1:8" x14ac:dyDescent="0.25">
      <c r="A2055" t="s">
        <v>285</v>
      </c>
      <c r="B2055" t="s">
        <v>383</v>
      </c>
      <c r="C2055">
        <v>25</v>
      </c>
      <c r="D2055">
        <v>295</v>
      </c>
      <c r="E2055" s="19">
        <v>45230</v>
      </c>
      <c r="F2055">
        <v>306.35000000000002</v>
      </c>
      <c r="G2055" s="19">
        <v>45265</v>
      </c>
      <c r="H2055">
        <v>-3.847457627118652</v>
      </c>
    </row>
    <row r="2056" spans="1:8" x14ac:dyDescent="0.25">
      <c r="A2056" t="s">
        <v>285</v>
      </c>
      <c r="B2056" t="s">
        <v>385</v>
      </c>
      <c r="C2056">
        <v>10</v>
      </c>
      <c r="D2056">
        <v>318.3</v>
      </c>
      <c r="E2056" s="19">
        <v>45212</v>
      </c>
      <c r="F2056">
        <v>297</v>
      </c>
      <c r="G2056" s="19">
        <v>45226</v>
      </c>
      <c r="H2056">
        <v>-6.6918001885014178</v>
      </c>
    </row>
    <row r="2057" spans="1:8" x14ac:dyDescent="0.25">
      <c r="A2057" t="s">
        <v>285</v>
      </c>
      <c r="B2057" t="s">
        <v>383</v>
      </c>
      <c r="C2057">
        <v>41</v>
      </c>
      <c r="D2057">
        <v>306</v>
      </c>
      <c r="E2057" s="19">
        <v>45149</v>
      </c>
      <c r="F2057">
        <v>325.25</v>
      </c>
      <c r="G2057" s="19">
        <v>45210</v>
      </c>
      <c r="H2057">
        <v>-6.2908496732026142</v>
      </c>
    </row>
    <row r="2058" spans="1:8" x14ac:dyDescent="0.25">
      <c r="A2058" t="s">
        <v>285</v>
      </c>
      <c r="B2058" t="s">
        <v>385</v>
      </c>
      <c r="C2058">
        <v>12</v>
      </c>
      <c r="D2058">
        <v>337.75</v>
      </c>
      <c r="E2058" s="19">
        <v>45132</v>
      </c>
      <c r="F2058">
        <v>296.75</v>
      </c>
      <c r="G2058" s="19">
        <v>45147</v>
      </c>
      <c r="H2058">
        <v>-12.13915618060696</v>
      </c>
    </row>
    <row r="2059" spans="1:8" x14ac:dyDescent="0.25">
      <c r="A2059" t="s">
        <v>285</v>
      </c>
      <c r="B2059" t="s">
        <v>383</v>
      </c>
      <c r="C2059">
        <v>7</v>
      </c>
      <c r="D2059">
        <v>319</v>
      </c>
      <c r="E2059" s="19">
        <v>45120</v>
      </c>
      <c r="F2059">
        <v>351.5</v>
      </c>
      <c r="G2059" s="19">
        <v>45128</v>
      </c>
      <c r="H2059">
        <v>-10.18808777429467</v>
      </c>
    </row>
    <row r="2060" spans="1:8" x14ac:dyDescent="0.25">
      <c r="A2060" t="s">
        <v>285</v>
      </c>
      <c r="B2060" t="s">
        <v>385</v>
      </c>
      <c r="C2060">
        <v>63</v>
      </c>
      <c r="D2060">
        <v>261.75</v>
      </c>
      <c r="E2060" s="19">
        <v>45027</v>
      </c>
      <c r="F2060">
        <v>322.25</v>
      </c>
      <c r="G2060" s="19">
        <v>45118</v>
      </c>
      <c r="H2060">
        <v>23.113658070678131</v>
      </c>
    </row>
    <row r="2061" spans="1:8" x14ac:dyDescent="0.25">
      <c r="A2061" t="s">
        <v>286</v>
      </c>
      <c r="B2061" t="s">
        <v>383</v>
      </c>
      <c r="C2061">
        <v>82</v>
      </c>
      <c r="D2061">
        <v>256.5</v>
      </c>
      <c r="E2061" s="19">
        <v>45541</v>
      </c>
      <c r="F2061">
        <v>214.45</v>
      </c>
      <c r="G2061" s="19">
        <v>45660</v>
      </c>
      <c r="H2061">
        <v>16.393762183235872</v>
      </c>
    </row>
    <row r="2062" spans="1:8" x14ac:dyDescent="0.25">
      <c r="A2062" t="s">
        <v>286</v>
      </c>
      <c r="B2062" t="s">
        <v>385</v>
      </c>
      <c r="C2062">
        <v>76</v>
      </c>
      <c r="D2062">
        <v>234.7</v>
      </c>
      <c r="E2062" s="19">
        <v>45429</v>
      </c>
      <c r="F2062">
        <v>268.75</v>
      </c>
      <c r="G2062" s="19">
        <v>45539</v>
      </c>
      <c r="H2062">
        <v>14.50788240306775</v>
      </c>
    </row>
    <row r="2063" spans="1:8" x14ac:dyDescent="0.25">
      <c r="A2063" t="s">
        <v>286</v>
      </c>
      <c r="B2063" t="s">
        <v>383</v>
      </c>
      <c r="C2063">
        <v>1</v>
      </c>
      <c r="D2063">
        <v>224.5</v>
      </c>
      <c r="E2063" s="19">
        <v>45427</v>
      </c>
      <c r="F2063">
        <v>224.5</v>
      </c>
      <c r="G2063" s="19">
        <v>45427</v>
      </c>
      <c r="H2063">
        <v>0</v>
      </c>
    </row>
    <row r="2064" spans="1:8" x14ac:dyDescent="0.25">
      <c r="A2064" t="s">
        <v>286</v>
      </c>
      <c r="B2064" t="s">
        <v>385</v>
      </c>
      <c r="C2064">
        <v>22</v>
      </c>
      <c r="D2064">
        <v>217.1</v>
      </c>
      <c r="E2064" s="19">
        <v>45391</v>
      </c>
      <c r="F2064">
        <v>202.85</v>
      </c>
      <c r="G2064" s="19">
        <v>45425</v>
      </c>
      <c r="H2064">
        <v>-6.5637954859511751</v>
      </c>
    </row>
    <row r="2065" spans="1:8" x14ac:dyDescent="0.25">
      <c r="A2065" t="s">
        <v>286</v>
      </c>
      <c r="B2065" t="s">
        <v>383</v>
      </c>
      <c r="C2065">
        <v>7</v>
      </c>
      <c r="D2065">
        <v>201.95</v>
      </c>
      <c r="E2065" s="19">
        <v>45378</v>
      </c>
      <c r="F2065">
        <v>230.1</v>
      </c>
      <c r="G2065" s="19">
        <v>45387</v>
      </c>
      <c r="H2065">
        <v>-13.939093835107711</v>
      </c>
    </row>
    <row r="2066" spans="1:8" x14ac:dyDescent="0.25">
      <c r="A2066" t="s">
        <v>286</v>
      </c>
      <c r="B2066" t="s">
        <v>385</v>
      </c>
      <c r="C2066">
        <v>77</v>
      </c>
      <c r="D2066">
        <v>154.6</v>
      </c>
      <c r="E2066" s="19">
        <v>45265</v>
      </c>
      <c r="F2066">
        <v>196.95</v>
      </c>
      <c r="G2066" s="19">
        <v>45373</v>
      </c>
      <c r="H2066">
        <v>27.393272962483831</v>
      </c>
    </row>
    <row r="2067" spans="1:8" x14ac:dyDescent="0.25">
      <c r="A2067" t="s">
        <v>286</v>
      </c>
      <c r="B2067" t="s">
        <v>383</v>
      </c>
      <c r="C2067">
        <v>8</v>
      </c>
      <c r="D2067">
        <v>134.9</v>
      </c>
      <c r="E2067" s="19">
        <v>45251</v>
      </c>
      <c r="F2067">
        <v>146.75</v>
      </c>
      <c r="G2067" s="19">
        <v>45261</v>
      </c>
      <c r="H2067">
        <v>-8.7842846553002172</v>
      </c>
    </row>
    <row r="2068" spans="1:8" x14ac:dyDescent="0.25">
      <c r="A2068" t="s">
        <v>286</v>
      </c>
      <c r="B2068" t="s">
        <v>385</v>
      </c>
      <c r="C2068">
        <v>72</v>
      </c>
      <c r="D2068">
        <v>102.75</v>
      </c>
      <c r="E2068" s="19">
        <v>45142</v>
      </c>
      <c r="F2068">
        <v>134.4</v>
      </c>
      <c r="G2068" s="19">
        <v>45247</v>
      </c>
      <c r="H2068">
        <v>30.802919708029201</v>
      </c>
    </row>
    <row r="2069" spans="1:8" x14ac:dyDescent="0.25">
      <c r="A2069" t="s">
        <v>286</v>
      </c>
      <c r="B2069" t="s">
        <v>383</v>
      </c>
      <c r="C2069">
        <v>6</v>
      </c>
      <c r="D2069">
        <v>98</v>
      </c>
      <c r="E2069" s="19">
        <v>45133</v>
      </c>
      <c r="F2069">
        <v>100.75</v>
      </c>
      <c r="G2069" s="19">
        <v>45140</v>
      </c>
      <c r="H2069">
        <v>-2.806122448979592</v>
      </c>
    </row>
    <row r="2070" spans="1:8" x14ac:dyDescent="0.25">
      <c r="A2070" t="s">
        <v>286</v>
      </c>
      <c r="B2070" t="s">
        <v>385</v>
      </c>
      <c r="C2070">
        <v>33</v>
      </c>
      <c r="D2070">
        <v>105.35</v>
      </c>
      <c r="E2070" s="19">
        <v>45084</v>
      </c>
      <c r="F2070">
        <v>98.3</v>
      </c>
      <c r="G2070" s="19">
        <v>45131</v>
      </c>
      <c r="H2070">
        <v>-6.6919791172282848</v>
      </c>
    </row>
    <row r="2071" spans="1:8" x14ac:dyDescent="0.25">
      <c r="A2071" t="s">
        <v>286</v>
      </c>
      <c r="B2071" t="s">
        <v>383</v>
      </c>
      <c r="C2071">
        <v>82</v>
      </c>
      <c r="D2071">
        <v>97.75</v>
      </c>
      <c r="E2071" s="19">
        <v>44959</v>
      </c>
      <c r="F2071">
        <v>103.3</v>
      </c>
      <c r="G2071" s="19">
        <v>45082</v>
      </c>
      <c r="H2071">
        <v>-5.6777493606138076</v>
      </c>
    </row>
    <row r="2072" spans="1:8" x14ac:dyDescent="0.25">
      <c r="A2072" t="s">
        <v>287</v>
      </c>
      <c r="B2072" t="s">
        <v>385</v>
      </c>
      <c r="C2072">
        <v>19</v>
      </c>
      <c r="D2072">
        <v>942.55</v>
      </c>
      <c r="E2072" s="19">
        <v>45635</v>
      </c>
      <c r="F2072">
        <v>908.2</v>
      </c>
      <c r="G2072" s="19">
        <v>45660</v>
      </c>
      <c r="H2072">
        <v>-3.644368998992086</v>
      </c>
    </row>
    <row r="2073" spans="1:8" x14ac:dyDescent="0.25">
      <c r="A2073" t="s">
        <v>287</v>
      </c>
      <c r="B2073" t="s">
        <v>383</v>
      </c>
      <c r="C2073">
        <v>14</v>
      </c>
      <c r="D2073">
        <v>820.35</v>
      </c>
      <c r="E2073" s="19">
        <v>45610</v>
      </c>
      <c r="F2073">
        <v>932.1</v>
      </c>
      <c r="G2073" s="19">
        <v>45631</v>
      </c>
      <c r="H2073">
        <v>-13.622234412141159</v>
      </c>
    </row>
    <row r="2074" spans="1:8" x14ac:dyDescent="0.25">
      <c r="A2074" t="s">
        <v>287</v>
      </c>
      <c r="B2074" t="s">
        <v>385</v>
      </c>
      <c r="C2074">
        <v>4</v>
      </c>
      <c r="D2074">
        <v>942.65</v>
      </c>
      <c r="E2074" s="19">
        <v>45603</v>
      </c>
      <c r="F2074">
        <v>865.45</v>
      </c>
      <c r="G2074" s="19">
        <v>45608</v>
      </c>
      <c r="H2074">
        <v>-8.1896780353259349</v>
      </c>
    </row>
    <row r="2075" spans="1:8" x14ac:dyDescent="0.25">
      <c r="A2075" t="s">
        <v>287</v>
      </c>
      <c r="B2075" t="s">
        <v>383</v>
      </c>
      <c r="C2075">
        <v>10</v>
      </c>
      <c r="D2075">
        <v>886.85</v>
      </c>
      <c r="E2075" s="19">
        <v>45588</v>
      </c>
      <c r="F2075">
        <v>941.9</v>
      </c>
      <c r="G2075" s="19">
        <v>45601</v>
      </c>
      <c r="H2075">
        <v>-6.2073631392005364</v>
      </c>
    </row>
    <row r="2076" spans="1:8" x14ac:dyDescent="0.25">
      <c r="A2076" t="s">
        <v>287</v>
      </c>
      <c r="B2076" t="s">
        <v>385</v>
      </c>
      <c r="C2076">
        <v>88</v>
      </c>
      <c r="D2076">
        <v>615.85</v>
      </c>
      <c r="E2076" s="19">
        <v>45457</v>
      </c>
      <c r="F2076">
        <v>861.75</v>
      </c>
      <c r="G2076" s="19">
        <v>45586</v>
      </c>
      <c r="H2076">
        <v>39.928554031014038</v>
      </c>
    </row>
    <row r="2077" spans="1:8" x14ac:dyDescent="0.25">
      <c r="A2077" t="s">
        <v>287</v>
      </c>
      <c r="B2077" t="s">
        <v>383</v>
      </c>
      <c r="C2077">
        <v>8</v>
      </c>
      <c r="D2077">
        <v>573.6</v>
      </c>
      <c r="E2077" s="19">
        <v>45446</v>
      </c>
      <c r="F2077">
        <v>593.85</v>
      </c>
      <c r="G2077" s="19">
        <v>45455</v>
      </c>
      <c r="H2077">
        <v>-3.530334728033472</v>
      </c>
    </row>
    <row r="2078" spans="1:8" x14ac:dyDescent="0.25">
      <c r="A2078" t="s">
        <v>287</v>
      </c>
      <c r="B2078" t="s">
        <v>385</v>
      </c>
      <c r="C2078">
        <v>6</v>
      </c>
      <c r="D2078">
        <v>597.04999999999995</v>
      </c>
      <c r="E2078" s="19">
        <v>45435</v>
      </c>
      <c r="F2078">
        <v>581.04999999999995</v>
      </c>
      <c r="G2078" s="19">
        <v>45442</v>
      </c>
      <c r="H2078">
        <v>-2.6798425592496442</v>
      </c>
    </row>
    <row r="2079" spans="1:8" x14ac:dyDescent="0.25">
      <c r="A2079" t="s">
        <v>287</v>
      </c>
      <c r="B2079" t="s">
        <v>383</v>
      </c>
      <c r="C2079">
        <v>21</v>
      </c>
      <c r="D2079">
        <v>588.20000000000005</v>
      </c>
      <c r="E2079" s="19">
        <v>45404</v>
      </c>
      <c r="F2079">
        <v>600.25</v>
      </c>
      <c r="G2079" s="19">
        <v>45433</v>
      </c>
      <c r="H2079">
        <v>-2.048622917375035</v>
      </c>
    </row>
    <row r="2080" spans="1:8" x14ac:dyDescent="0.25">
      <c r="A2080" t="s">
        <v>287</v>
      </c>
      <c r="B2080" t="s">
        <v>385</v>
      </c>
      <c r="C2080">
        <v>3</v>
      </c>
      <c r="D2080">
        <v>592.5</v>
      </c>
      <c r="E2080" s="19">
        <v>45397</v>
      </c>
      <c r="F2080">
        <v>577.1</v>
      </c>
      <c r="G2080" s="19">
        <v>45400</v>
      </c>
      <c r="H2080">
        <v>-2.5991561181434562</v>
      </c>
    </row>
    <row r="2081" spans="1:8" x14ac:dyDescent="0.25">
      <c r="A2081" t="s">
        <v>287</v>
      </c>
      <c r="B2081" t="s">
        <v>383</v>
      </c>
      <c r="C2081">
        <v>19</v>
      </c>
      <c r="D2081">
        <v>556</v>
      </c>
      <c r="E2081" s="19">
        <v>45364</v>
      </c>
      <c r="F2081">
        <v>604.75</v>
      </c>
      <c r="G2081" s="19">
        <v>45392</v>
      </c>
      <c r="H2081">
        <v>-8.7679856115107917</v>
      </c>
    </row>
    <row r="2082" spans="1:8" x14ac:dyDescent="0.25">
      <c r="A2082" t="s">
        <v>287</v>
      </c>
      <c r="B2082" t="s">
        <v>385</v>
      </c>
      <c r="C2082">
        <v>11</v>
      </c>
      <c r="D2082">
        <v>630.15</v>
      </c>
      <c r="E2082" s="19">
        <v>45348</v>
      </c>
      <c r="F2082">
        <v>563.85</v>
      </c>
      <c r="G2082" s="19">
        <v>45362</v>
      </c>
      <c r="H2082">
        <v>-10.521304451321109</v>
      </c>
    </row>
    <row r="2083" spans="1:8" x14ac:dyDescent="0.25">
      <c r="A2083" t="s">
        <v>287</v>
      </c>
      <c r="B2083" t="s">
        <v>383</v>
      </c>
      <c r="C2083">
        <v>7</v>
      </c>
      <c r="D2083">
        <v>547.75</v>
      </c>
      <c r="E2083" s="19">
        <v>45336</v>
      </c>
      <c r="F2083">
        <v>630.1</v>
      </c>
      <c r="G2083" s="19">
        <v>45344</v>
      </c>
      <c r="H2083">
        <v>-15.03423094477408</v>
      </c>
    </row>
    <row r="2084" spans="1:8" x14ac:dyDescent="0.25">
      <c r="A2084" t="s">
        <v>287</v>
      </c>
      <c r="B2084" t="s">
        <v>385</v>
      </c>
      <c r="C2084">
        <v>229</v>
      </c>
      <c r="D2084">
        <v>346</v>
      </c>
      <c r="E2084" s="19">
        <v>44995</v>
      </c>
      <c r="F2084">
        <v>562.65</v>
      </c>
      <c r="G2084" s="19">
        <v>45334</v>
      </c>
      <c r="H2084">
        <v>62.615606936416178</v>
      </c>
    </row>
    <row r="2085" spans="1:8" x14ac:dyDescent="0.25">
      <c r="A2085" t="s">
        <v>288</v>
      </c>
      <c r="B2085" t="s">
        <v>385</v>
      </c>
      <c r="C2085">
        <v>28</v>
      </c>
      <c r="D2085">
        <v>2507.15</v>
      </c>
      <c r="E2085" s="19">
        <v>45622</v>
      </c>
      <c r="F2085">
        <v>2651.8</v>
      </c>
      <c r="G2085" s="19">
        <v>45660</v>
      </c>
      <c r="H2085">
        <v>5.7694992321959226</v>
      </c>
    </row>
    <row r="2086" spans="1:8" x14ac:dyDescent="0.25">
      <c r="A2086" t="s">
        <v>288</v>
      </c>
      <c r="B2086" t="s">
        <v>383</v>
      </c>
      <c r="C2086">
        <v>17</v>
      </c>
      <c r="D2086">
        <v>2179.35</v>
      </c>
      <c r="E2086" s="19">
        <v>45594</v>
      </c>
      <c r="F2086">
        <v>2499.25</v>
      </c>
      <c r="G2086" s="19">
        <v>45618</v>
      </c>
      <c r="H2086">
        <v>-14.678688599811879</v>
      </c>
    </row>
    <row r="2087" spans="1:8" x14ac:dyDescent="0.25">
      <c r="A2087" t="s">
        <v>288</v>
      </c>
      <c r="B2087" t="s">
        <v>385</v>
      </c>
      <c r="C2087">
        <v>132</v>
      </c>
      <c r="D2087">
        <v>2050.85</v>
      </c>
      <c r="E2087" s="19">
        <v>45400</v>
      </c>
      <c r="F2087">
        <v>2222.4499999999998</v>
      </c>
      <c r="G2087" s="19">
        <v>45590</v>
      </c>
      <c r="H2087">
        <v>8.367262354633441</v>
      </c>
    </row>
    <row r="2088" spans="1:8" x14ac:dyDescent="0.25">
      <c r="A2088" t="s">
        <v>288</v>
      </c>
      <c r="B2088" t="s">
        <v>383</v>
      </c>
      <c r="C2088">
        <v>22</v>
      </c>
      <c r="D2088">
        <v>1817.65</v>
      </c>
      <c r="E2088" s="19">
        <v>45363</v>
      </c>
      <c r="F2088">
        <v>2033.05</v>
      </c>
      <c r="G2088" s="19">
        <v>45397</v>
      </c>
      <c r="H2088">
        <v>-11.850466261381451</v>
      </c>
    </row>
    <row r="2089" spans="1:8" x14ac:dyDescent="0.25">
      <c r="A2089" t="s">
        <v>288</v>
      </c>
      <c r="B2089" t="s">
        <v>385</v>
      </c>
      <c r="C2089">
        <v>19</v>
      </c>
      <c r="D2089">
        <v>2080.1</v>
      </c>
      <c r="E2089" s="19">
        <v>45335</v>
      </c>
      <c r="F2089">
        <v>1945</v>
      </c>
      <c r="G2089" s="19">
        <v>45358</v>
      </c>
      <c r="H2089">
        <v>-6.4948800538435618</v>
      </c>
    </row>
    <row r="2090" spans="1:8" x14ac:dyDescent="0.25">
      <c r="A2090" t="s">
        <v>288</v>
      </c>
      <c r="B2090" t="s">
        <v>383</v>
      </c>
      <c r="C2090">
        <v>29</v>
      </c>
      <c r="D2090">
        <v>1889.05</v>
      </c>
      <c r="E2090" s="19">
        <v>45292</v>
      </c>
      <c r="F2090">
        <v>2088.4</v>
      </c>
      <c r="G2090" s="19">
        <v>45331</v>
      </c>
      <c r="H2090">
        <v>-10.55292342711946</v>
      </c>
    </row>
    <row r="2091" spans="1:8" x14ac:dyDescent="0.25">
      <c r="A2091" t="s">
        <v>288</v>
      </c>
      <c r="B2091" t="s">
        <v>385</v>
      </c>
      <c r="C2091">
        <v>238</v>
      </c>
      <c r="D2091">
        <v>937.3</v>
      </c>
      <c r="E2091" s="19">
        <v>44937</v>
      </c>
      <c r="F2091">
        <v>1939.4</v>
      </c>
      <c r="G2091" s="19">
        <v>45288</v>
      </c>
      <c r="H2091">
        <v>106.9134748746399</v>
      </c>
    </row>
    <row r="2092" spans="1:8" x14ac:dyDescent="0.25">
      <c r="A2092" t="s">
        <v>289</v>
      </c>
      <c r="B2092" t="s">
        <v>385</v>
      </c>
      <c r="C2092">
        <v>0</v>
      </c>
      <c r="D2092">
        <v>82.81</v>
      </c>
      <c r="E2092" s="19">
        <v>45012</v>
      </c>
      <c r="F2092">
        <v>163.22999999999999</v>
      </c>
      <c r="G2092" s="19">
        <v>45660</v>
      </c>
      <c r="H2092">
        <v>97.113875135853149</v>
      </c>
    </row>
    <row r="2093" spans="1:8" x14ac:dyDescent="0.25">
      <c r="A2093" t="s">
        <v>289</v>
      </c>
      <c r="B2093" t="s">
        <v>383</v>
      </c>
      <c r="C2093">
        <v>2</v>
      </c>
      <c r="D2093">
        <v>152.97999999999999</v>
      </c>
      <c r="E2093" s="19">
        <v>45658</v>
      </c>
      <c r="F2093">
        <v>162.79</v>
      </c>
      <c r="G2093" s="19">
        <v>45659</v>
      </c>
      <c r="H2093">
        <v>-6.4126029546345942</v>
      </c>
    </row>
    <row r="2094" spans="1:8" x14ac:dyDescent="0.25">
      <c r="A2094" t="s">
        <v>289</v>
      </c>
      <c r="B2094" t="s">
        <v>385</v>
      </c>
      <c r="C2094">
        <v>21</v>
      </c>
      <c r="D2094">
        <v>167.87</v>
      </c>
      <c r="E2094" s="19">
        <v>45625</v>
      </c>
      <c r="F2094">
        <v>149.72999999999999</v>
      </c>
      <c r="G2094" s="19">
        <v>45656</v>
      </c>
      <c r="H2094">
        <v>-10.805980818490511</v>
      </c>
    </row>
    <row r="2095" spans="1:8" x14ac:dyDescent="0.25">
      <c r="A2095" t="s">
        <v>289</v>
      </c>
      <c r="B2095" t="s">
        <v>383</v>
      </c>
      <c r="C2095">
        <v>37</v>
      </c>
      <c r="D2095">
        <v>157.51</v>
      </c>
      <c r="E2095" s="19">
        <v>45569</v>
      </c>
      <c r="F2095">
        <v>164.37</v>
      </c>
      <c r="G2095" s="19">
        <v>45623</v>
      </c>
      <c r="H2095">
        <v>-4.3552790299028716</v>
      </c>
    </row>
    <row r="2096" spans="1:8" x14ac:dyDescent="0.25">
      <c r="A2096" t="s">
        <v>289</v>
      </c>
      <c r="B2096" t="s">
        <v>385</v>
      </c>
      <c r="C2096">
        <v>3</v>
      </c>
      <c r="D2096">
        <v>166.87</v>
      </c>
      <c r="E2096" s="19">
        <v>45562</v>
      </c>
      <c r="F2096">
        <v>162.11000000000001</v>
      </c>
      <c r="G2096" s="19">
        <v>45566</v>
      </c>
      <c r="H2096">
        <v>-2.8525199256906522</v>
      </c>
    </row>
    <row r="2097" spans="1:8" x14ac:dyDescent="0.25">
      <c r="A2097" t="s">
        <v>289</v>
      </c>
      <c r="B2097" t="s">
        <v>383</v>
      </c>
      <c r="C2097">
        <v>36</v>
      </c>
      <c r="D2097">
        <v>154.9</v>
      </c>
      <c r="E2097" s="19">
        <v>45510</v>
      </c>
      <c r="F2097">
        <v>171.53</v>
      </c>
      <c r="G2097" s="19">
        <v>45560</v>
      </c>
      <c r="H2097">
        <v>-10.7359586830213</v>
      </c>
    </row>
    <row r="2098" spans="1:8" x14ac:dyDescent="0.25">
      <c r="A2098" t="s">
        <v>289</v>
      </c>
      <c r="B2098" t="s">
        <v>385</v>
      </c>
      <c r="C2098">
        <v>3</v>
      </c>
      <c r="D2098">
        <v>174.27</v>
      </c>
      <c r="E2098" s="19">
        <v>45504</v>
      </c>
      <c r="F2098">
        <v>166.35</v>
      </c>
      <c r="G2098" s="19">
        <v>45506</v>
      </c>
      <c r="H2098">
        <v>-4.5446720605956363</v>
      </c>
    </row>
    <row r="2099" spans="1:8" x14ac:dyDescent="0.25">
      <c r="A2099" t="s">
        <v>289</v>
      </c>
      <c r="B2099" t="s">
        <v>383</v>
      </c>
      <c r="C2099">
        <v>3</v>
      </c>
      <c r="D2099">
        <v>164.4</v>
      </c>
      <c r="E2099" s="19">
        <v>45498</v>
      </c>
      <c r="F2099">
        <v>169.17</v>
      </c>
      <c r="G2099" s="19">
        <v>45502</v>
      </c>
      <c r="H2099">
        <v>-2.9014598540145879</v>
      </c>
    </row>
    <row r="2100" spans="1:8" x14ac:dyDescent="0.25">
      <c r="A2100" t="s">
        <v>289</v>
      </c>
      <c r="B2100" t="s">
        <v>385</v>
      </c>
      <c r="C2100">
        <v>22</v>
      </c>
      <c r="D2100">
        <v>177.55</v>
      </c>
      <c r="E2100" s="19">
        <v>45464</v>
      </c>
      <c r="F2100">
        <v>164.32</v>
      </c>
      <c r="G2100" s="19">
        <v>45496</v>
      </c>
      <c r="H2100">
        <v>-7.4514221346099792</v>
      </c>
    </row>
    <row r="2101" spans="1:8" x14ac:dyDescent="0.25">
      <c r="A2101" t="s">
        <v>289</v>
      </c>
      <c r="B2101" t="s">
        <v>383</v>
      </c>
      <c r="C2101">
        <v>65</v>
      </c>
      <c r="D2101">
        <v>160</v>
      </c>
      <c r="E2101" s="19">
        <v>45364</v>
      </c>
      <c r="F2101">
        <v>173.72</v>
      </c>
      <c r="G2101" s="19">
        <v>45462</v>
      </c>
      <c r="H2101">
        <v>-8.5749999999999993</v>
      </c>
    </row>
    <row r="2102" spans="1:8" x14ac:dyDescent="0.25">
      <c r="A2102" t="s">
        <v>289</v>
      </c>
      <c r="B2102" t="s">
        <v>385</v>
      </c>
      <c r="C2102">
        <v>79</v>
      </c>
      <c r="D2102">
        <v>171.19</v>
      </c>
      <c r="E2102" s="19">
        <v>45247</v>
      </c>
      <c r="F2102">
        <v>174.15</v>
      </c>
      <c r="G2102" s="19">
        <v>45362</v>
      </c>
      <c r="H2102">
        <v>1.7290729598691561</v>
      </c>
    </row>
    <row r="2103" spans="1:8" x14ac:dyDescent="0.25">
      <c r="A2103" t="s">
        <v>289</v>
      </c>
      <c r="B2103" t="s">
        <v>383</v>
      </c>
      <c r="C2103">
        <v>13</v>
      </c>
      <c r="D2103">
        <v>143.33000000000001</v>
      </c>
      <c r="E2103" s="19">
        <v>45229</v>
      </c>
      <c r="F2103">
        <v>160.72</v>
      </c>
      <c r="G2103" s="19">
        <v>45245</v>
      </c>
      <c r="H2103">
        <v>-12.13284029861159</v>
      </c>
    </row>
    <row r="2104" spans="1:8" x14ac:dyDescent="0.25">
      <c r="A2104" t="s">
        <v>289</v>
      </c>
      <c r="B2104" t="s">
        <v>385</v>
      </c>
      <c r="C2104">
        <v>117</v>
      </c>
      <c r="D2104">
        <v>102.55</v>
      </c>
      <c r="E2104" s="19">
        <v>45056</v>
      </c>
      <c r="F2104">
        <v>138.12</v>
      </c>
      <c r="G2104" s="19">
        <v>45225</v>
      </c>
      <c r="H2104">
        <v>34.685519258898097</v>
      </c>
    </row>
    <row r="2105" spans="1:8" x14ac:dyDescent="0.25">
      <c r="A2105" t="s">
        <v>290</v>
      </c>
      <c r="B2105" t="s">
        <v>383</v>
      </c>
      <c r="C2105">
        <v>9</v>
      </c>
      <c r="D2105">
        <v>403.85</v>
      </c>
      <c r="E2105" s="19">
        <v>45649</v>
      </c>
      <c r="F2105">
        <v>433.5</v>
      </c>
      <c r="G2105" s="19">
        <v>45660</v>
      </c>
      <c r="H2105">
        <v>-7.3418348396681878</v>
      </c>
    </row>
    <row r="2106" spans="1:8" x14ac:dyDescent="0.25">
      <c r="A2106" t="s">
        <v>290</v>
      </c>
      <c r="B2106" t="s">
        <v>385</v>
      </c>
      <c r="C2106">
        <v>13</v>
      </c>
      <c r="D2106">
        <v>538</v>
      </c>
      <c r="E2106" s="19">
        <v>45629</v>
      </c>
      <c r="F2106">
        <v>418.55</v>
      </c>
      <c r="G2106" s="19">
        <v>45645</v>
      </c>
      <c r="H2106">
        <v>-22.202602230483269</v>
      </c>
    </row>
    <row r="2107" spans="1:8" x14ac:dyDescent="0.25">
      <c r="A2107" t="s">
        <v>290</v>
      </c>
      <c r="B2107" t="s">
        <v>383</v>
      </c>
      <c r="C2107">
        <v>72</v>
      </c>
      <c r="D2107">
        <v>514.45000000000005</v>
      </c>
      <c r="E2107" s="19">
        <v>45523</v>
      </c>
      <c r="F2107">
        <v>505.2</v>
      </c>
      <c r="G2107" s="19">
        <v>45625</v>
      </c>
      <c r="H2107">
        <v>1.7980367382641771</v>
      </c>
    </row>
    <row r="2108" spans="1:8" x14ac:dyDescent="0.25">
      <c r="A2108" t="s">
        <v>290</v>
      </c>
      <c r="B2108" t="s">
        <v>385</v>
      </c>
      <c r="C2108">
        <v>81</v>
      </c>
      <c r="D2108">
        <v>470.45</v>
      </c>
      <c r="E2108" s="19">
        <v>45401</v>
      </c>
      <c r="F2108">
        <v>507.65</v>
      </c>
      <c r="G2108" s="19">
        <v>45518</v>
      </c>
      <c r="H2108">
        <v>7.9073227760654676</v>
      </c>
    </row>
    <row r="2109" spans="1:8" x14ac:dyDescent="0.25">
      <c r="A2109" t="s">
        <v>291</v>
      </c>
      <c r="B2109" t="s">
        <v>383</v>
      </c>
      <c r="C2109">
        <v>151</v>
      </c>
      <c r="D2109">
        <v>553.6</v>
      </c>
      <c r="E2109" s="19">
        <v>45441</v>
      </c>
      <c r="F2109">
        <v>307.45</v>
      </c>
      <c r="G2109" s="19">
        <v>45660</v>
      </c>
      <c r="H2109">
        <v>44.463511560693647</v>
      </c>
    </row>
    <row r="2110" spans="1:8" x14ac:dyDescent="0.25">
      <c r="A2110" t="s">
        <v>291</v>
      </c>
      <c r="B2110" t="s">
        <v>385</v>
      </c>
      <c r="C2110">
        <v>74</v>
      </c>
      <c r="D2110">
        <v>510.43</v>
      </c>
      <c r="E2110" s="19">
        <v>45329</v>
      </c>
      <c r="F2110">
        <v>566.42999999999995</v>
      </c>
      <c r="G2110" s="19">
        <v>45439</v>
      </c>
      <c r="H2110">
        <v>10.97114197833198</v>
      </c>
    </row>
    <row r="2111" spans="1:8" x14ac:dyDescent="0.25">
      <c r="A2111" t="s">
        <v>291</v>
      </c>
      <c r="B2111" t="s">
        <v>383</v>
      </c>
      <c r="C2111">
        <v>4</v>
      </c>
      <c r="D2111">
        <v>385.98</v>
      </c>
      <c r="E2111" s="19">
        <v>45322</v>
      </c>
      <c r="F2111">
        <v>418.58</v>
      </c>
      <c r="G2111" s="19">
        <v>45327</v>
      </c>
      <c r="H2111">
        <v>-8.4460334732369446</v>
      </c>
    </row>
    <row r="2112" spans="1:8" x14ac:dyDescent="0.25">
      <c r="A2112" t="s">
        <v>291</v>
      </c>
      <c r="B2112" t="s">
        <v>385</v>
      </c>
      <c r="C2112">
        <v>198</v>
      </c>
      <c r="D2112">
        <v>186.95</v>
      </c>
      <c r="E2112" s="19">
        <v>45029</v>
      </c>
      <c r="F2112">
        <v>385.23</v>
      </c>
      <c r="G2112" s="19">
        <v>45320</v>
      </c>
      <c r="H2112">
        <v>106.0604439689757</v>
      </c>
    </row>
    <row r="2113" spans="1:8" x14ac:dyDescent="0.25">
      <c r="A2113" t="s">
        <v>292</v>
      </c>
      <c r="B2113" t="s">
        <v>383</v>
      </c>
      <c r="C2113">
        <v>60</v>
      </c>
      <c r="D2113">
        <v>6901.25</v>
      </c>
      <c r="E2113" s="19">
        <v>45574</v>
      </c>
      <c r="F2113">
        <v>6135.85</v>
      </c>
      <c r="G2113" s="19">
        <v>45660</v>
      </c>
      <c r="H2113">
        <v>11.090744430356811</v>
      </c>
    </row>
    <row r="2114" spans="1:8" x14ac:dyDescent="0.25">
      <c r="A2114" t="s">
        <v>292</v>
      </c>
      <c r="B2114" t="s">
        <v>385</v>
      </c>
      <c r="C2114">
        <v>19</v>
      </c>
      <c r="D2114">
        <v>7394.75</v>
      </c>
      <c r="E2114" s="19">
        <v>45545</v>
      </c>
      <c r="F2114">
        <v>6795.4</v>
      </c>
      <c r="G2114" s="19">
        <v>45572</v>
      </c>
      <c r="H2114">
        <v>-8.1050745461307052</v>
      </c>
    </row>
    <row r="2115" spans="1:8" x14ac:dyDescent="0.25">
      <c r="A2115" t="s">
        <v>292</v>
      </c>
      <c r="B2115" t="s">
        <v>383</v>
      </c>
      <c r="C2115">
        <v>56</v>
      </c>
      <c r="D2115">
        <v>7190.75</v>
      </c>
      <c r="E2115" s="19">
        <v>45462</v>
      </c>
      <c r="F2115">
        <v>7351.45</v>
      </c>
      <c r="G2115" s="19">
        <v>45541</v>
      </c>
      <c r="H2115">
        <v>-2.2348155616590741</v>
      </c>
    </row>
    <row r="2116" spans="1:8" x14ac:dyDescent="0.25">
      <c r="A2116" t="s">
        <v>292</v>
      </c>
      <c r="B2116" t="s">
        <v>385</v>
      </c>
      <c r="C2116">
        <v>19</v>
      </c>
      <c r="D2116">
        <v>8938.4500000000007</v>
      </c>
      <c r="E2116" s="19">
        <v>45433</v>
      </c>
      <c r="F2116">
        <v>6838.7</v>
      </c>
      <c r="G2116" s="19">
        <v>45457</v>
      </c>
      <c r="H2116">
        <v>-23.491209326001719</v>
      </c>
    </row>
    <row r="2117" spans="1:8" x14ac:dyDescent="0.25">
      <c r="A2117" t="s">
        <v>292</v>
      </c>
      <c r="B2117" t="s">
        <v>383</v>
      </c>
      <c r="C2117">
        <v>6</v>
      </c>
      <c r="D2117">
        <v>7958.9</v>
      </c>
      <c r="E2117" s="19">
        <v>45422</v>
      </c>
      <c r="F2117">
        <v>8851.9500000000007</v>
      </c>
      <c r="G2117" s="19">
        <v>45429</v>
      </c>
      <c r="H2117">
        <v>-11.220771714684201</v>
      </c>
    </row>
    <row r="2118" spans="1:8" x14ac:dyDescent="0.25">
      <c r="A2118" t="s">
        <v>292</v>
      </c>
      <c r="B2118" t="s">
        <v>385</v>
      </c>
      <c r="C2118">
        <v>2</v>
      </c>
      <c r="D2118">
        <v>8373.4500000000007</v>
      </c>
      <c r="E2118" s="19">
        <v>45419</v>
      </c>
      <c r="F2118">
        <v>8246.25</v>
      </c>
      <c r="G2118" s="19">
        <v>45420</v>
      </c>
      <c r="H2118">
        <v>-1.519087114630179</v>
      </c>
    </row>
    <row r="2119" spans="1:8" x14ac:dyDescent="0.25">
      <c r="A2119" t="s">
        <v>292</v>
      </c>
      <c r="B2119" t="s">
        <v>383</v>
      </c>
      <c r="C2119">
        <v>31</v>
      </c>
      <c r="D2119">
        <v>7747.1</v>
      </c>
      <c r="E2119" s="19">
        <v>45366</v>
      </c>
      <c r="F2119">
        <v>8624.25</v>
      </c>
      <c r="G2119" s="19">
        <v>45415</v>
      </c>
      <c r="H2119">
        <v>-11.322301248209</v>
      </c>
    </row>
    <row r="2120" spans="1:8" x14ac:dyDescent="0.25">
      <c r="A2120" t="s">
        <v>292</v>
      </c>
      <c r="B2120" t="s">
        <v>385</v>
      </c>
      <c r="C2120">
        <v>210</v>
      </c>
      <c r="D2120">
        <v>6349.55</v>
      </c>
      <c r="E2120" s="19">
        <v>45061</v>
      </c>
      <c r="F2120">
        <v>8028.5</v>
      </c>
      <c r="G2120" s="19">
        <v>45364</v>
      </c>
      <c r="H2120">
        <v>26.442031325054529</v>
      </c>
    </row>
    <row r="2121" spans="1:8" x14ac:dyDescent="0.25">
      <c r="A2121" t="s">
        <v>293</v>
      </c>
      <c r="B2121" t="s">
        <v>385</v>
      </c>
      <c r="C2121">
        <v>122</v>
      </c>
      <c r="D2121">
        <v>272.91000000000003</v>
      </c>
      <c r="E2121" s="19">
        <v>45483</v>
      </c>
      <c r="F2121">
        <v>481.15</v>
      </c>
      <c r="G2121" s="19">
        <v>45660</v>
      </c>
      <c r="H2121">
        <v>76.303543292660564</v>
      </c>
    </row>
    <row r="2122" spans="1:8" x14ac:dyDescent="0.25">
      <c r="A2122" t="s">
        <v>293</v>
      </c>
      <c r="B2122" t="s">
        <v>383</v>
      </c>
      <c r="C2122">
        <v>21</v>
      </c>
      <c r="D2122">
        <v>220.75</v>
      </c>
      <c r="E2122" s="19">
        <v>45450</v>
      </c>
      <c r="F2122">
        <v>246.76</v>
      </c>
      <c r="G2122" s="19">
        <v>45481</v>
      </c>
      <c r="H2122">
        <v>-11.782559456398641</v>
      </c>
    </row>
    <row r="2123" spans="1:8" x14ac:dyDescent="0.25">
      <c r="A2123" t="s">
        <v>293</v>
      </c>
      <c r="B2123" t="s">
        <v>385</v>
      </c>
      <c r="C2123">
        <v>31</v>
      </c>
      <c r="D2123">
        <v>224.25</v>
      </c>
      <c r="E2123" s="19">
        <v>45405</v>
      </c>
      <c r="F2123">
        <v>225.85</v>
      </c>
      <c r="G2123" s="19">
        <v>45448</v>
      </c>
      <c r="H2123">
        <v>0.71348940914158054</v>
      </c>
    </row>
    <row r="2124" spans="1:8" x14ac:dyDescent="0.25">
      <c r="A2124" t="s">
        <v>293</v>
      </c>
      <c r="B2124" t="s">
        <v>383</v>
      </c>
      <c r="C2124">
        <v>47</v>
      </c>
      <c r="D2124">
        <v>220.65</v>
      </c>
      <c r="E2124" s="19">
        <v>45331</v>
      </c>
      <c r="F2124">
        <v>222.75</v>
      </c>
      <c r="G2124" s="19">
        <v>45401</v>
      </c>
      <c r="H2124">
        <v>-0.95173351461590505</v>
      </c>
    </row>
    <row r="2125" spans="1:8" x14ac:dyDescent="0.25">
      <c r="A2125" t="s">
        <v>293</v>
      </c>
      <c r="B2125" t="s">
        <v>385</v>
      </c>
      <c r="C2125">
        <v>205</v>
      </c>
      <c r="D2125">
        <v>114.59</v>
      </c>
      <c r="E2125" s="19">
        <v>45029</v>
      </c>
      <c r="F2125">
        <v>232.85</v>
      </c>
      <c r="G2125" s="19">
        <v>45329</v>
      </c>
      <c r="H2125">
        <v>103.2027227506763</v>
      </c>
    </row>
    <row r="2126" spans="1:8" x14ac:dyDescent="0.25">
      <c r="A2126" t="s">
        <v>294</v>
      </c>
      <c r="B2126" t="s">
        <v>383</v>
      </c>
      <c r="C2126">
        <v>35</v>
      </c>
      <c r="D2126">
        <v>105.64</v>
      </c>
      <c r="E2126" s="19">
        <v>45609</v>
      </c>
      <c r="F2126">
        <v>114.85</v>
      </c>
      <c r="G2126" s="19">
        <v>45660</v>
      </c>
      <c r="H2126">
        <v>-8.7182885270730726</v>
      </c>
    </row>
    <row r="2127" spans="1:8" x14ac:dyDescent="0.25">
      <c r="A2127" t="s">
        <v>294</v>
      </c>
      <c r="B2127" t="s">
        <v>385</v>
      </c>
      <c r="C2127">
        <v>73</v>
      </c>
      <c r="D2127">
        <v>105.17</v>
      </c>
      <c r="E2127" s="19">
        <v>45503</v>
      </c>
      <c r="F2127">
        <v>115.05</v>
      </c>
      <c r="G2127" s="19">
        <v>45607</v>
      </c>
      <c r="H2127">
        <v>9.394313967861553</v>
      </c>
    </row>
    <row r="2128" spans="1:8" x14ac:dyDescent="0.25">
      <c r="A2128" t="s">
        <v>294</v>
      </c>
      <c r="B2128" t="s">
        <v>383</v>
      </c>
      <c r="C2128">
        <v>109</v>
      </c>
      <c r="D2128">
        <v>111.9</v>
      </c>
      <c r="E2128" s="19">
        <v>45338</v>
      </c>
      <c r="F2128">
        <v>98.06</v>
      </c>
      <c r="G2128" s="19">
        <v>45499</v>
      </c>
      <c r="H2128">
        <v>12.36818588025023</v>
      </c>
    </row>
    <row r="2129" spans="1:8" x14ac:dyDescent="0.25">
      <c r="A2129" t="s">
        <v>294</v>
      </c>
      <c r="B2129" t="s">
        <v>385</v>
      </c>
      <c r="C2129">
        <v>53</v>
      </c>
      <c r="D2129">
        <v>117.35</v>
      </c>
      <c r="E2129" s="19">
        <v>45260</v>
      </c>
      <c r="F2129">
        <v>113.35</v>
      </c>
      <c r="G2129" s="19">
        <v>45336</v>
      </c>
      <c r="H2129">
        <v>-3.408606731998296</v>
      </c>
    </row>
    <row r="2130" spans="1:8" x14ac:dyDescent="0.25">
      <c r="A2130" t="s">
        <v>294</v>
      </c>
      <c r="B2130" t="s">
        <v>383</v>
      </c>
      <c r="C2130">
        <v>38</v>
      </c>
      <c r="D2130">
        <v>95.35</v>
      </c>
      <c r="E2130" s="19">
        <v>45203</v>
      </c>
      <c r="F2130">
        <v>111.85</v>
      </c>
      <c r="G2130" s="19">
        <v>45258</v>
      </c>
      <c r="H2130">
        <v>-17.304667016255902</v>
      </c>
    </row>
    <row r="2131" spans="1:8" x14ac:dyDescent="0.25">
      <c r="A2131" t="s">
        <v>294</v>
      </c>
      <c r="B2131" t="s">
        <v>385</v>
      </c>
      <c r="C2131">
        <v>95</v>
      </c>
      <c r="D2131">
        <v>75.25</v>
      </c>
      <c r="E2131" s="19">
        <v>45063</v>
      </c>
      <c r="F2131">
        <v>103.05</v>
      </c>
      <c r="G2131" s="19">
        <v>45198</v>
      </c>
      <c r="H2131">
        <v>36.943521594684377</v>
      </c>
    </row>
    <row r="2132" spans="1:8" x14ac:dyDescent="0.25">
      <c r="A2132" t="s">
        <v>295</v>
      </c>
      <c r="B2132" t="s">
        <v>383</v>
      </c>
      <c r="C2132">
        <v>71</v>
      </c>
      <c r="D2132">
        <v>1413.1</v>
      </c>
      <c r="E2132" s="19">
        <v>45558</v>
      </c>
      <c r="F2132">
        <v>1147.2</v>
      </c>
      <c r="G2132" s="19">
        <v>45660</v>
      </c>
      <c r="H2132">
        <v>18.816785790106849</v>
      </c>
    </row>
    <row r="2133" spans="1:8" x14ac:dyDescent="0.25">
      <c r="A2133" t="s">
        <v>295</v>
      </c>
      <c r="B2133" t="s">
        <v>385</v>
      </c>
      <c r="C2133">
        <v>66</v>
      </c>
      <c r="D2133">
        <v>1144.5999999999999</v>
      </c>
      <c r="E2133" s="19">
        <v>45461</v>
      </c>
      <c r="F2133">
        <v>1326.15</v>
      </c>
      <c r="G2133" s="19">
        <v>45554</v>
      </c>
      <c r="H2133">
        <v>15.861436309627839</v>
      </c>
    </row>
    <row r="2134" spans="1:8" x14ac:dyDescent="0.25">
      <c r="A2134" t="s">
        <v>295</v>
      </c>
      <c r="B2134" t="s">
        <v>383</v>
      </c>
      <c r="C2134">
        <v>9</v>
      </c>
      <c r="D2134">
        <v>1053.75</v>
      </c>
      <c r="E2134" s="19">
        <v>45446</v>
      </c>
      <c r="F2134">
        <v>1118.3</v>
      </c>
      <c r="G2134" s="19">
        <v>45456</v>
      </c>
      <c r="H2134">
        <v>-6.1257413997627479</v>
      </c>
    </row>
    <row r="2135" spans="1:8" x14ac:dyDescent="0.25">
      <c r="A2135" t="s">
        <v>295</v>
      </c>
      <c r="B2135" t="s">
        <v>385</v>
      </c>
      <c r="C2135">
        <v>2</v>
      </c>
      <c r="D2135">
        <v>1075.45</v>
      </c>
      <c r="E2135" s="19">
        <v>45441</v>
      </c>
      <c r="F2135">
        <v>1021.7</v>
      </c>
      <c r="G2135" s="19">
        <v>45442</v>
      </c>
      <c r="H2135">
        <v>-4.9979078525268488</v>
      </c>
    </row>
    <row r="2136" spans="1:8" x14ac:dyDescent="0.25">
      <c r="A2136" t="s">
        <v>295</v>
      </c>
      <c r="B2136" t="s">
        <v>383</v>
      </c>
      <c r="C2136">
        <v>40</v>
      </c>
      <c r="D2136">
        <v>1078.6500000000001</v>
      </c>
      <c r="E2136" s="19">
        <v>45377</v>
      </c>
      <c r="F2136">
        <v>1123.55</v>
      </c>
      <c r="G2136" s="19">
        <v>45439</v>
      </c>
      <c r="H2136">
        <v>-4.1626106707458268</v>
      </c>
    </row>
    <row r="2137" spans="1:8" x14ac:dyDescent="0.25">
      <c r="A2137" t="s">
        <v>295</v>
      </c>
      <c r="B2137" t="s">
        <v>385</v>
      </c>
      <c r="C2137">
        <v>101</v>
      </c>
      <c r="D2137">
        <v>708.9</v>
      </c>
      <c r="E2137" s="19">
        <v>45229</v>
      </c>
      <c r="F2137">
        <v>1074.1500000000001</v>
      </c>
      <c r="G2137" s="19">
        <v>45372</v>
      </c>
      <c r="H2137">
        <v>51.52348709267882</v>
      </c>
    </row>
    <row r="2138" spans="1:8" x14ac:dyDescent="0.25">
      <c r="A2138" t="s">
        <v>295</v>
      </c>
      <c r="B2138" t="s">
        <v>383</v>
      </c>
      <c r="C2138">
        <v>43</v>
      </c>
      <c r="D2138">
        <v>642</v>
      </c>
      <c r="E2138" s="19">
        <v>45162</v>
      </c>
      <c r="F2138">
        <v>668.15</v>
      </c>
      <c r="G2138" s="19">
        <v>45225</v>
      </c>
      <c r="H2138">
        <v>-4.0732087227414304</v>
      </c>
    </row>
    <row r="2139" spans="1:8" x14ac:dyDescent="0.25">
      <c r="A2139" t="s">
        <v>295</v>
      </c>
      <c r="B2139" t="s">
        <v>385</v>
      </c>
      <c r="C2139">
        <v>31</v>
      </c>
      <c r="D2139">
        <v>759</v>
      </c>
      <c r="E2139" s="19">
        <v>45117</v>
      </c>
      <c r="F2139">
        <v>669</v>
      </c>
      <c r="G2139" s="19">
        <v>45160</v>
      </c>
      <c r="H2139">
        <v>-11.85770750988142</v>
      </c>
    </row>
    <row r="2140" spans="1:8" x14ac:dyDescent="0.25">
      <c r="A2140" t="s">
        <v>295</v>
      </c>
      <c r="B2140" t="s">
        <v>383</v>
      </c>
      <c r="C2140">
        <v>24</v>
      </c>
      <c r="D2140">
        <v>656</v>
      </c>
      <c r="E2140" s="19">
        <v>45079</v>
      </c>
      <c r="F2140">
        <v>757</v>
      </c>
      <c r="G2140" s="19">
        <v>45113</v>
      </c>
      <c r="H2140">
        <v>-15.396341463414631</v>
      </c>
    </row>
    <row r="2141" spans="1:8" x14ac:dyDescent="0.25">
      <c r="A2141" t="s">
        <v>295</v>
      </c>
      <c r="B2141" t="s">
        <v>385</v>
      </c>
      <c r="C2141">
        <v>15</v>
      </c>
      <c r="D2141">
        <v>740.25</v>
      </c>
      <c r="E2141" s="19">
        <v>45057</v>
      </c>
      <c r="F2141">
        <v>665.8</v>
      </c>
      <c r="G2141" s="19">
        <v>45077</v>
      </c>
      <c r="H2141">
        <v>-10.057413036136451</v>
      </c>
    </row>
    <row r="2142" spans="1:8" x14ac:dyDescent="0.25">
      <c r="A2142" t="s">
        <v>296</v>
      </c>
      <c r="B2142" t="s">
        <v>383</v>
      </c>
      <c r="C2142">
        <v>64</v>
      </c>
      <c r="D2142">
        <v>336.2</v>
      </c>
      <c r="E2142" s="19">
        <v>45568</v>
      </c>
      <c r="F2142">
        <v>306</v>
      </c>
      <c r="G2142" s="19">
        <v>45660</v>
      </c>
      <c r="H2142">
        <v>8.9827483640690033</v>
      </c>
    </row>
    <row r="2143" spans="1:8" x14ac:dyDescent="0.25">
      <c r="A2143" t="s">
        <v>296</v>
      </c>
      <c r="B2143" t="s">
        <v>385</v>
      </c>
      <c r="C2143">
        <v>28</v>
      </c>
      <c r="D2143">
        <v>362.55</v>
      </c>
      <c r="E2143" s="19">
        <v>45526</v>
      </c>
      <c r="F2143">
        <v>341.3</v>
      </c>
      <c r="G2143" s="19">
        <v>45565</v>
      </c>
      <c r="H2143">
        <v>-5.8612605157909252</v>
      </c>
    </row>
    <row r="2144" spans="1:8" x14ac:dyDescent="0.25">
      <c r="A2144" t="s">
        <v>296</v>
      </c>
      <c r="B2144" t="s">
        <v>383</v>
      </c>
      <c r="C2144">
        <v>2</v>
      </c>
      <c r="D2144">
        <v>338.3</v>
      </c>
      <c r="E2144" s="19">
        <v>45523</v>
      </c>
      <c r="F2144">
        <v>351.85</v>
      </c>
      <c r="G2144" s="19">
        <v>45524</v>
      </c>
      <c r="H2144">
        <v>-4.0053207212533293</v>
      </c>
    </row>
    <row r="2145" spans="1:8" x14ac:dyDescent="0.25">
      <c r="A2145" t="s">
        <v>296</v>
      </c>
      <c r="B2145" t="s">
        <v>385</v>
      </c>
      <c r="C2145">
        <v>43</v>
      </c>
      <c r="D2145">
        <v>344.1</v>
      </c>
      <c r="E2145" s="19">
        <v>45456</v>
      </c>
      <c r="F2145">
        <v>333.5</v>
      </c>
      <c r="G2145" s="19">
        <v>45518</v>
      </c>
      <c r="H2145">
        <v>-3.080499854693409</v>
      </c>
    </row>
    <row r="2146" spans="1:8" x14ac:dyDescent="0.25">
      <c r="A2146" t="s">
        <v>296</v>
      </c>
      <c r="B2146" t="s">
        <v>383</v>
      </c>
      <c r="C2146">
        <v>7</v>
      </c>
      <c r="D2146">
        <v>315.14999999999998</v>
      </c>
      <c r="E2146" s="19">
        <v>45446</v>
      </c>
      <c r="F2146">
        <v>333.1</v>
      </c>
      <c r="G2146" s="19">
        <v>45454</v>
      </c>
      <c r="H2146">
        <v>-5.6957004600983812</v>
      </c>
    </row>
    <row r="2147" spans="1:8" x14ac:dyDescent="0.25">
      <c r="A2147" t="s">
        <v>296</v>
      </c>
      <c r="B2147" t="s">
        <v>385</v>
      </c>
      <c r="C2147">
        <v>20</v>
      </c>
      <c r="D2147">
        <v>333.3</v>
      </c>
      <c r="E2147" s="19">
        <v>45415</v>
      </c>
      <c r="F2147">
        <v>316.05</v>
      </c>
      <c r="G2147" s="19">
        <v>45442</v>
      </c>
      <c r="H2147">
        <v>-5.175517551755175</v>
      </c>
    </row>
    <row r="2148" spans="1:8" x14ac:dyDescent="0.25">
      <c r="A2148" t="s">
        <v>296</v>
      </c>
      <c r="B2148" t="s">
        <v>383</v>
      </c>
      <c r="C2148">
        <v>63</v>
      </c>
      <c r="D2148">
        <v>338.55</v>
      </c>
      <c r="E2148" s="19">
        <v>45320</v>
      </c>
      <c r="F2148">
        <v>335.85</v>
      </c>
      <c r="G2148" s="19">
        <v>45412</v>
      </c>
      <c r="H2148">
        <v>0.79751883030571225</v>
      </c>
    </row>
    <row r="2149" spans="1:8" x14ac:dyDescent="0.25">
      <c r="A2149" t="s">
        <v>296</v>
      </c>
      <c r="B2149" t="s">
        <v>385</v>
      </c>
      <c r="C2149">
        <v>31</v>
      </c>
      <c r="D2149">
        <v>364</v>
      </c>
      <c r="E2149" s="19">
        <v>45272</v>
      </c>
      <c r="F2149">
        <v>327.25</v>
      </c>
      <c r="G2149" s="19">
        <v>45315</v>
      </c>
      <c r="H2149">
        <v>-10.09615384615385</v>
      </c>
    </row>
    <row r="2150" spans="1:8" x14ac:dyDescent="0.25">
      <c r="A2150" t="s">
        <v>296</v>
      </c>
      <c r="B2150" t="s">
        <v>383</v>
      </c>
      <c r="C2150">
        <v>20</v>
      </c>
      <c r="D2150">
        <v>331.1</v>
      </c>
      <c r="E2150" s="19">
        <v>45240</v>
      </c>
      <c r="F2150">
        <v>352.2</v>
      </c>
      <c r="G2150" s="19">
        <v>45268</v>
      </c>
      <c r="H2150">
        <v>-6.3726970703714789</v>
      </c>
    </row>
    <row r="2151" spans="1:8" x14ac:dyDescent="0.25">
      <c r="A2151" t="s">
        <v>296</v>
      </c>
      <c r="B2151" t="s">
        <v>385</v>
      </c>
      <c r="C2151">
        <v>53</v>
      </c>
      <c r="D2151">
        <v>307</v>
      </c>
      <c r="E2151" s="19">
        <v>45161</v>
      </c>
      <c r="F2151">
        <v>337.55</v>
      </c>
      <c r="G2151" s="19">
        <v>45238</v>
      </c>
      <c r="H2151">
        <v>9.9511400651465838</v>
      </c>
    </row>
    <row r="2152" spans="1:8" x14ac:dyDescent="0.25">
      <c r="A2152" t="s">
        <v>296</v>
      </c>
      <c r="B2152" t="s">
        <v>383</v>
      </c>
      <c r="C2152">
        <v>11</v>
      </c>
      <c r="D2152">
        <v>259.64999999999998</v>
      </c>
      <c r="E2152" s="19">
        <v>45142</v>
      </c>
      <c r="F2152">
        <v>290.89999999999998</v>
      </c>
      <c r="G2152" s="19">
        <v>45159</v>
      </c>
      <c r="H2152">
        <v>-12.03543231272867</v>
      </c>
    </row>
    <row r="2153" spans="1:8" x14ac:dyDescent="0.25">
      <c r="A2153" t="s">
        <v>296</v>
      </c>
      <c r="B2153" t="s">
        <v>385</v>
      </c>
      <c r="C2153">
        <v>69</v>
      </c>
      <c r="D2153">
        <v>273.8</v>
      </c>
      <c r="E2153" s="19">
        <v>45042</v>
      </c>
      <c r="F2153">
        <v>270.85000000000002</v>
      </c>
      <c r="G2153" s="19">
        <v>45140</v>
      </c>
      <c r="H2153">
        <v>-1.077428780131479</v>
      </c>
    </row>
    <row r="2154" spans="1:8" x14ac:dyDescent="0.25">
      <c r="A2154" t="s">
        <v>297</v>
      </c>
      <c r="B2154" t="s">
        <v>383</v>
      </c>
      <c r="C2154">
        <v>108</v>
      </c>
      <c r="D2154">
        <v>103.78</v>
      </c>
      <c r="E2154" s="19">
        <v>45504</v>
      </c>
      <c r="F2154">
        <v>88.22</v>
      </c>
      <c r="G2154" s="19">
        <v>45660</v>
      </c>
      <c r="H2154">
        <v>14.99325496242051</v>
      </c>
    </row>
    <row r="2155" spans="1:8" x14ac:dyDescent="0.25">
      <c r="A2155" t="s">
        <v>297</v>
      </c>
      <c r="B2155" t="s">
        <v>385</v>
      </c>
      <c r="C2155">
        <v>29</v>
      </c>
      <c r="D2155">
        <v>110.66</v>
      </c>
      <c r="E2155" s="19">
        <v>45461</v>
      </c>
      <c r="F2155">
        <v>103.64</v>
      </c>
      <c r="G2155" s="19">
        <v>45502</v>
      </c>
      <c r="H2155">
        <v>-6.3437556479305952</v>
      </c>
    </row>
    <row r="2156" spans="1:8" x14ac:dyDescent="0.25">
      <c r="A2156" t="s">
        <v>297</v>
      </c>
      <c r="B2156" t="s">
        <v>383</v>
      </c>
      <c r="C2156">
        <v>16</v>
      </c>
      <c r="D2156">
        <v>105.95</v>
      </c>
      <c r="E2156" s="19">
        <v>45435</v>
      </c>
      <c r="F2156">
        <v>110.41</v>
      </c>
      <c r="G2156" s="19">
        <v>45456</v>
      </c>
      <c r="H2156">
        <v>-4.2095327984898478</v>
      </c>
    </row>
    <row r="2157" spans="1:8" x14ac:dyDescent="0.25">
      <c r="A2157" t="s">
        <v>297</v>
      </c>
      <c r="B2157" t="s">
        <v>385</v>
      </c>
      <c r="C2157">
        <v>27</v>
      </c>
      <c r="D2157">
        <v>117.45</v>
      </c>
      <c r="E2157" s="19">
        <v>45392</v>
      </c>
      <c r="F2157">
        <v>106.9</v>
      </c>
      <c r="G2157" s="19">
        <v>45433</v>
      </c>
      <c r="H2157">
        <v>-8.982545764154958</v>
      </c>
    </row>
    <row r="2158" spans="1:8" x14ac:dyDescent="0.25">
      <c r="A2158" t="s">
        <v>297</v>
      </c>
      <c r="B2158" t="s">
        <v>383</v>
      </c>
      <c r="C2158">
        <v>17</v>
      </c>
      <c r="D2158">
        <v>94.9</v>
      </c>
      <c r="E2158" s="19">
        <v>45364</v>
      </c>
      <c r="F2158">
        <v>112.5</v>
      </c>
      <c r="G2158" s="19">
        <v>45390</v>
      </c>
      <c r="H2158">
        <v>-18.545837723919909</v>
      </c>
    </row>
    <row r="2159" spans="1:8" x14ac:dyDescent="0.25">
      <c r="A2159" t="s">
        <v>297</v>
      </c>
      <c r="B2159" t="s">
        <v>385</v>
      </c>
      <c r="C2159">
        <v>62</v>
      </c>
      <c r="D2159">
        <v>94.6</v>
      </c>
      <c r="E2159" s="19">
        <v>45273</v>
      </c>
      <c r="F2159">
        <v>105</v>
      </c>
      <c r="G2159" s="19">
        <v>45362</v>
      </c>
      <c r="H2159">
        <v>10.99365750528542</v>
      </c>
    </row>
    <row r="2160" spans="1:8" x14ac:dyDescent="0.25">
      <c r="A2160" t="s">
        <v>297</v>
      </c>
      <c r="B2160" t="s">
        <v>383</v>
      </c>
      <c r="C2160">
        <v>30</v>
      </c>
      <c r="D2160">
        <v>86</v>
      </c>
      <c r="E2160" s="19">
        <v>45229</v>
      </c>
      <c r="F2160">
        <v>90.35</v>
      </c>
      <c r="G2160" s="19">
        <v>45271</v>
      </c>
      <c r="H2160">
        <v>-5.0581395348837139</v>
      </c>
    </row>
    <row r="2161" spans="1:8" x14ac:dyDescent="0.25">
      <c r="A2161" t="s">
        <v>297</v>
      </c>
      <c r="B2161" t="s">
        <v>385</v>
      </c>
      <c r="C2161">
        <v>128</v>
      </c>
      <c r="D2161">
        <v>71.150000000000006</v>
      </c>
      <c r="E2161" s="19">
        <v>45040</v>
      </c>
      <c r="F2161">
        <v>86.3</v>
      </c>
      <c r="G2161" s="19">
        <v>45225</v>
      </c>
      <c r="H2161">
        <v>21.293042867181999</v>
      </c>
    </row>
    <row r="2162" spans="1:8" x14ac:dyDescent="0.25">
      <c r="A2162" t="s">
        <v>298</v>
      </c>
      <c r="B2162" t="s">
        <v>383</v>
      </c>
      <c r="C2162">
        <v>32</v>
      </c>
      <c r="D2162">
        <v>581.75</v>
      </c>
      <c r="E2162" s="19">
        <v>45615</v>
      </c>
      <c r="F2162">
        <v>594.29999999999995</v>
      </c>
      <c r="G2162" s="19">
        <v>45660</v>
      </c>
      <c r="H2162">
        <v>-2.157284056725389</v>
      </c>
    </row>
    <row r="2163" spans="1:8" x14ac:dyDescent="0.25">
      <c r="A2163" t="s">
        <v>298</v>
      </c>
      <c r="B2163" t="s">
        <v>385</v>
      </c>
      <c r="C2163">
        <v>34</v>
      </c>
      <c r="D2163">
        <v>625.4</v>
      </c>
      <c r="E2163" s="19">
        <v>45562</v>
      </c>
      <c r="F2163">
        <v>600.25</v>
      </c>
      <c r="G2163" s="19">
        <v>45610</v>
      </c>
      <c r="H2163">
        <v>-4.0214262871762037</v>
      </c>
    </row>
    <row r="2164" spans="1:8" x14ac:dyDescent="0.25">
      <c r="A2164" t="s">
        <v>298</v>
      </c>
      <c r="B2164" t="s">
        <v>383</v>
      </c>
      <c r="C2164">
        <v>20</v>
      </c>
      <c r="D2164">
        <v>552.29999999999995</v>
      </c>
      <c r="E2164" s="19">
        <v>45533</v>
      </c>
      <c r="F2164">
        <v>596.35</v>
      </c>
      <c r="G2164" s="19">
        <v>45560</v>
      </c>
      <c r="H2164">
        <v>-7.9757378236465826</v>
      </c>
    </row>
    <row r="2165" spans="1:8" x14ac:dyDescent="0.25">
      <c r="A2165" t="s">
        <v>298</v>
      </c>
      <c r="B2165" t="s">
        <v>385</v>
      </c>
      <c r="C2165">
        <v>41</v>
      </c>
      <c r="D2165">
        <v>581.35</v>
      </c>
      <c r="E2165" s="19">
        <v>45471</v>
      </c>
      <c r="F2165">
        <v>579.79999999999995</v>
      </c>
      <c r="G2165" s="19">
        <v>45531</v>
      </c>
      <c r="H2165">
        <v>-0.26662079642213271</v>
      </c>
    </row>
    <row r="2166" spans="1:8" x14ac:dyDescent="0.25">
      <c r="A2166" t="s">
        <v>298</v>
      </c>
      <c r="B2166" t="s">
        <v>383</v>
      </c>
      <c r="C2166">
        <v>28</v>
      </c>
      <c r="D2166">
        <v>523.35</v>
      </c>
      <c r="E2166" s="19">
        <v>45429</v>
      </c>
      <c r="F2166">
        <v>588.54999999999995</v>
      </c>
      <c r="G2166" s="19">
        <v>45469</v>
      </c>
      <c r="H2166">
        <v>-12.458201968090171</v>
      </c>
    </row>
    <row r="2167" spans="1:8" x14ac:dyDescent="0.25">
      <c r="A2167" t="s">
        <v>298</v>
      </c>
      <c r="B2167" t="s">
        <v>385</v>
      </c>
      <c r="C2167">
        <v>24</v>
      </c>
      <c r="D2167">
        <v>576.79999999999995</v>
      </c>
      <c r="E2167" s="19">
        <v>45391</v>
      </c>
      <c r="F2167">
        <v>538.29999999999995</v>
      </c>
      <c r="G2167" s="19">
        <v>45427</v>
      </c>
      <c r="H2167">
        <v>-6.6747572815533989</v>
      </c>
    </row>
    <row r="2168" spans="1:8" x14ac:dyDescent="0.25">
      <c r="A2168" t="s">
        <v>298</v>
      </c>
      <c r="B2168" t="s">
        <v>383</v>
      </c>
      <c r="C2168">
        <v>34</v>
      </c>
      <c r="D2168">
        <v>551.35</v>
      </c>
      <c r="E2168" s="19">
        <v>45338</v>
      </c>
      <c r="F2168">
        <v>576.35</v>
      </c>
      <c r="G2168" s="19">
        <v>45387</v>
      </c>
      <c r="H2168">
        <v>-4.5343248390314681</v>
      </c>
    </row>
    <row r="2169" spans="1:8" x14ac:dyDescent="0.25">
      <c r="A2169" t="s">
        <v>298</v>
      </c>
      <c r="B2169" t="s">
        <v>385</v>
      </c>
      <c r="C2169">
        <v>49</v>
      </c>
      <c r="D2169">
        <v>554.95000000000005</v>
      </c>
      <c r="E2169" s="19">
        <v>45266</v>
      </c>
      <c r="F2169">
        <v>545.29999999999995</v>
      </c>
      <c r="G2169" s="19">
        <v>45336</v>
      </c>
      <c r="H2169">
        <v>-1.738895395981636</v>
      </c>
    </row>
    <row r="2170" spans="1:8" x14ac:dyDescent="0.25">
      <c r="A2170" t="s">
        <v>298</v>
      </c>
      <c r="B2170" t="s">
        <v>383</v>
      </c>
      <c r="C2170">
        <v>75</v>
      </c>
      <c r="D2170">
        <v>524.25</v>
      </c>
      <c r="E2170" s="19">
        <v>45154</v>
      </c>
      <c r="F2170">
        <v>551.9</v>
      </c>
      <c r="G2170" s="19">
        <v>45264</v>
      </c>
      <c r="H2170">
        <v>-5.2742012398664713</v>
      </c>
    </row>
    <row r="2171" spans="1:8" x14ac:dyDescent="0.25">
      <c r="A2171" t="s">
        <v>298</v>
      </c>
      <c r="B2171" t="s">
        <v>385</v>
      </c>
      <c r="C2171">
        <v>121</v>
      </c>
      <c r="D2171">
        <v>440.75</v>
      </c>
      <c r="E2171" s="19">
        <v>44972</v>
      </c>
      <c r="F2171">
        <v>546</v>
      </c>
      <c r="G2171" s="19">
        <v>45149</v>
      </c>
      <c r="H2171">
        <v>23.879750425411231</v>
      </c>
    </row>
    <row r="2172" spans="1:8" x14ac:dyDescent="0.25">
      <c r="A2172" t="s">
        <v>299</v>
      </c>
      <c r="B2172" t="s">
        <v>385</v>
      </c>
      <c r="C2172">
        <v>23</v>
      </c>
      <c r="D2172">
        <v>27159.35</v>
      </c>
      <c r="E2172" s="19">
        <v>45629</v>
      </c>
      <c r="F2172">
        <v>26096.25</v>
      </c>
      <c r="G2172" s="19">
        <v>45660</v>
      </c>
      <c r="H2172">
        <v>-3.914305754740075</v>
      </c>
    </row>
    <row r="2173" spans="1:8" x14ac:dyDescent="0.25">
      <c r="A2173" t="s">
        <v>299</v>
      </c>
      <c r="B2173" t="s">
        <v>383</v>
      </c>
      <c r="C2173">
        <v>34</v>
      </c>
      <c r="D2173">
        <v>24337.05</v>
      </c>
      <c r="E2173" s="19">
        <v>45576</v>
      </c>
      <c r="F2173">
        <v>26076.45</v>
      </c>
      <c r="G2173" s="19">
        <v>45625</v>
      </c>
      <c r="H2173">
        <v>-7.1471275277817217</v>
      </c>
    </row>
    <row r="2174" spans="1:8" x14ac:dyDescent="0.25">
      <c r="A2174" t="s">
        <v>299</v>
      </c>
      <c r="B2174" t="s">
        <v>385</v>
      </c>
      <c r="C2174">
        <v>4</v>
      </c>
      <c r="D2174">
        <v>26034.2</v>
      </c>
      <c r="E2174" s="19">
        <v>45569</v>
      </c>
      <c r="F2174">
        <v>24975.05</v>
      </c>
      <c r="G2174" s="19">
        <v>45574</v>
      </c>
      <c r="H2174">
        <v>-4.0683024636823921</v>
      </c>
    </row>
    <row r="2175" spans="1:8" x14ac:dyDescent="0.25">
      <c r="A2175" t="s">
        <v>299</v>
      </c>
      <c r="B2175" t="s">
        <v>383</v>
      </c>
      <c r="C2175">
        <v>37</v>
      </c>
      <c r="D2175">
        <v>24296.6</v>
      </c>
      <c r="E2175" s="19">
        <v>45513</v>
      </c>
      <c r="F2175">
        <v>26523.25</v>
      </c>
      <c r="G2175" s="19">
        <v>45566</v>
      </c>
      <c r="H2175">
        <v>-9.1644509931430811</v>
      </c>
    </row>
    <row r="2176" spans="1:8" x14ac:dyDescent="0.25">
      <c r="A2176" t="s">
        <v>299</v>
      </c>
      <c r="B2176" t="s">
        <v>385</v>
      </c>
      <c r="C2176">
        <v>40</v>
      </c>
      <c r="D2176">
        <v>27063.85</v>
      </c>
      <c r="E2176" s="19">
        <v>45454</v>
      </c>
      <c r="F2176">
        <v>25098.6</v>
      </c>
      <c r="G2176" s="19">
        <v>45511</v>
      </c>
      <c r="H2176">
        <v>-7.2615315263718951</v>
      </c>
    </row>
    <row r="2177" spans="1:8" x14ac:dyDescent="0.25">
      <c r="A2177" t="s">
        <v>299</v>
      </c>
      <c r="B2177" t="s">
        <v>383</v>
      </c>
      <c r="C2177">
        <v>5</v>
      </c>
      <c r="D2177">
        <v>25309.25</v>
      </c>
      <c r="E2177" s="19">
        <v>45446</v>
      </c>
      <c r="F2177">
        <v>26077.5</v>
      </c>
      <c r="G2177" s="19">
        <v>45450</v>
      </c>
      <c r="H2177">
        <v>-3.035451465373332</v>
      </c>
    </row>
    <row r="2178" spans="1:8" x14ac:dyDescent="0.25">
      <c r="A2178" t="s">
        <v>299</v>
      </c>
      <c r="B2178" t="s">
        <v>385</v>
      </c>
      <c r="C2178">
        <v>8</v>
      </c>
      <c r="D2178">
        <v>25833.45</v>
      </c>
      <c r="E2178" s="19">
        <v>45433</v>
      </c>
      <c r="F2178">
        <v>25062.35</v>
      </c>
      <c r="G2178" s="19">
        <v>45442</v>
      </c>
      <c r="H2178">
        <v>-2.9848897456592209</v>
      </c>
    </row>
    <row r="2179" spans="1:8" x14ac:dyDescent="0.25">
      <c r="A2179" t="s">
        <v>299</v>
      </c>
      <c r="B2179" t="s">
        <v>383</v>
      </c>
      <c r="C2179">
        <v>60</v>
      </c>
      <c r="D2179">
        <v>26815.3</v>
      </c>
      <c r="E2179" s="19">
        <v>45341</v>
      </c>
      <c r="F2179">
        <v>26305.8</v>
      </c>
      <c r="G2179" s="19">
        <v>45429</v>
      </c>
      <c r="H2179">
        <v>1.9000346816929139</v>
      </c>
    </row>
    <row r="2180" spans="1:8" x14ac:dyDescent="0.25">
      <c r="A2180" t="s">
        <v>299</v>
      </c>
      <c r="B2180" t="s">
        <v>385</v>
      </c>
      <c r="C2180">
        <v>12</v>
      </c>
      <c r="D2180">
        <v>28556.25</v>
      </c>
      <c r="E2180" s="19">
        <v>45322</v>
      </c>
      <c r="F2180">
        <v>26332.9</v>
      </c>
      <c r="G2180" s="19">
        <v>45337</v>
      </c>
      <c r="H2180">
        <v>-7.7858612387830988</v>
      </c>
    </row>
    <row r="2181" spans="1:8" x14ac:dyDescent="0.25">
      <c r="A2181" t="s">
        <v>299</v>
      </c>
      <c r="B2181" t="s">
        <v>383</v>
      </c>
      <c r="C2181">
        <v>5</v>
      </c>
      <c r="D2181">
        <v>27593.8</v>
      </c>
      <c r="E2181" s="19">
        <v>45311</v>
      </c>
      <c r="F2181">
        <v>28411.55</v>
      </c>
      <c r="G2181" s="19">
        <v>45320</v>
      </c>
      <c r="H2181">
        <v>-2.9635280389072909</v>
      </c>
    </row>
    <row r="2182" spans="1:8" x14ac:dyDescent="0.25">
      <c r="A2182" t="s">
        <v>299</v>
      </c>
      <c r="B2182" t="s">
        <v>385</v>
      </c>
      <c r="C2182">
        <v>92</v>
      </c>
      <c r="D2182">
        <v>25650.3</v>
      </c>
      <c r="E2182" s="19">
        <v>45175</v>
      </c>
      <c r="F2182">
        <v>26477.15</v>
      </c>
      <c r="G2182" s="19">
        <v>45309</v>
      </c>
      <c r="H2182">
        <v>3.2235490423114039</v>
      </c>
    </row>
    <row r="2183" spans="1:8" x14ac:dyDescent="0.25">
      <c r="A2183" t="s">
        <v>299</v>
      </c>
      <c r="B2183" t="s">
        <v>383</v>
      </c>
      <c r="C2183">
        <v>45</v>
      </c>
      <c r="D2183">
        <v>24125</v>
      </c>
      <c r="E2183" s="19">
        <v>45110</v>
      </c>
      <c r="F2183">
        <v>25671.55</v>
      </c>
      <c r="G2183" s="19">
        <v>45173</v>
      </c>
      <c r="H2183">
        <v>-6.4105699481865246</v>
      </c>
    </row>
    <row r="2184" spans="1:8" x14ac:dyDescent="0.25">
      <c r="A2184" t="s">
        <v>299</v>
      </c>
      <c r="B2184" t="s">
        <v>385</v>
      </c>
      <c r="C2184">
        <v>16</v>
      </c>
      <c r="D2184">
        <v>25795.599999999999</v>
      </c>
      <c r="E2184" s="19">
        <v>45084</v>
      </c>
      <c r="F2184">
        <v>24050</v>
      </c>
      <c r="G2184" s="19">
        <v>45105</v>
      </c>
      <c r="H2184">
        <v>-6.7670455426506786</v>
      </c>
    </row>
    <row r="2185" spans="1:8" x14ac:dyDescent="0.25">
      <c r="A2185" t="s">
        <v>299</v>
      </c>
      <c r="B2185" t="s">
        <v>383</v>
      </c>
      <c r="C2185">
        <v>28</v>
      </c>
      <c r="D2185">
        <v>23962.5</v>
      </c>
      <c r="E2185" s="19">
        <v>45042</v>
      </c>
      <c r="F2185">
        <v>24820.05</v>
      </c>
      <c r="G2185" s="19">
        <v>45082</v>
      </c>
      <c r="H2185">
        <v>-3.5787167449139252</v>
      </c>
    </row>
    <row r="2186" spans="1:8" x14ac:dyDescent="0.25">
      <c r="A2186" t="s">
        <v>300</v>
      </c>
      <c r="B2186" t="s">
        <v>383</v>
      </c>
      <c r="C2186">
        <v>42</v>
      </c>
      <c r="D2186">
        <v>3147.9</v>
      </c>
      <c r="E2186" s="19">
        <v>45600</v>
      </c>
      <c r="F2186">
        <v>3048.35</v>
      </c>
      <c r="G2186" s="19">
        <v>45660</v>
      </c>
      <c r="H2186">
        <v>3.1624257441468981</v>
      </c>
    </row>
    <row r="2187" spans="1:8" x14ac:dyDescent="0.25">
      <c r="A2187" t="s">
        <v>300</v>
      </c>
      <c r="B2187" t="s">
        <v>385</v>
      </c>
      <c r="C2187">
        <v>99</v>
      </c>
      <c r="D2187">
        <v>2533</v>
      </c>
      <c r="E2187" s="19">
        <v>45454</v>
      </c>
      <c r="F2187">
        <v>3138.9</v>
      </c>
      <c r="G2187" s="19">
        <v>45596</v>
      </c>
      <c r="H2187">
        <v>23.920252664824321</v>
      </c>
    </row>
    <row r="2188" spans="1:8" x14ac:dyDescent="0.25">
      <c r="A2188" t="s">
        <v>300</v>
      </c>
      <c r="B2188" t="s">
        <v>383</v>
      </c>
      <c r="C2188">
        <v>15</v>
      </c>
      <c r="D2188">
        <v>2370.4499999999998</v>
      </c>
      <c r="E2188" s="19">
        <v>45430</v>
      </c>
      <c r="F2188">
        <v>2497.9499999999998</v>
      </c>
      <c r="G2188" s="19">
        <v>45450</v>
      </c>
      <c r="H2188">
        <v>-5.3787255584382718</v>
      </c>
    </row>
    <row r="2189" spans="1:8" x14ac:dyDescent="0.25">
      <c r="A2189" t="s">
        <v>300</v>
      </c>
      <c r="B2189" t="s">
        <v>385</v>
      </c>
      <c r="C2189">
        <v>273</v>
      </c>
      <c r="D2189">
        <v>1295.3</v>
      </c>
      <c r="E2189" s="19">
        <v>45027</v>
      </c>
      <c r="F2189">
        <v>2338.6999999999998</v>
      </c>
      <c r="G2189" s="19">
        <v>45428</v>
      </c>
      <c r="H2189">
        <v>80.552767698602636</v>
      </c>
    </row>
    <row r="2190" spans="1:8" x14ac:dyDescent="0.25">
      <c r="A2190" t="s">
        <v>301</v>
      </c>
      <c r="B2190" t="s">
        <v>383</v>
      </c>
      <c r="C2190">
        <v>35</v>
      </c>
      <c r="D2190">
        <v>796.25</v>
      </c>
      <c r="E2190" s="19">
        <v>45609</v>
      </c>
      <c r="F2190">
        <v>776.85</v>
      </c>
      <c r="G2190" s="19">
        <v>45660</v>
      </c>
      <c r="H2190">
        <v>2.4364207221350052</v>
      </c>
    </row>
    <row r="2191" spans="1:8" x14ac:dyDescent="0.25">
      <c r="A2191" t="s">
        <v>301</v>
      </c>
      <c r="B2191" t="s">
        <v>385</v>
      </c>
      <c r="C2191">
        <v>104</v>
      </c>
      <c r="D2191">
        <v>647.45000000000005</v>
      </c>
      <c r="E2191" s="19">
        <v>45456</v>
      </c>
      <c r="F2191">
        <v>800.85</v>
      </c>
      <c r="G2191" s="19">
        <v>45607</v>
      </c>
      <c r="H2191">
        <v>23.692949262491311</v>
      </c>
    </row>
    <row r="2192" spans="1:8" x14ac:dyDescent="0.25">
      <c r="A2192" t="s">
        <v>301</v>
      </c>
      <c r="B2192" t="s">
        <v>383</v>
      </c>
      <c r="C2192">
        <v>5</v>
      </c>
      <c r="D2192">
        <v>567.45000000000005</v>
      </c>
      <c r="E2192" s="19">
        <v>45448</v>
      </c>
      <c r="F2192">
        <v>634.9</v>
      </c>
      <c r="G2192" s="19">
        <v>45454</v>
      </c>
      <c r="H2192">
        <v>-11.886509824654141</v>
      </c>
    </row>
    <row r="2193" spans="1:8" x14ac:dyDescent="0.25">
      <c r="A2193" t="s">
        <v>301</v>
      </c>
      <c r="B2193" t="s">
        <v>385</v>
      </c>
      <c r="C2193">
        <v>7</v>
      </c>
      <c r="D2193">
        <v>641.04999999999995</v>
      </c>
      <c r="E2193" s="19">
        <v>45436</v>
      </c>
      <c r="F2193">
        <v>621.70000000000005</v>
      </c>
      <c r="G2193" s="19">
        <v>45446</v>
      </c>
      <c r="H2193">
        <v>-3.0184852975586791</v>
      </c>
    </row>
    <row r="2194" spans="1:8" x14ac:dyDescent="0.25">
      <c r="A2194" t="s">
        <v>301</v>
      </c>
      <c r="B2194" t="s">
        <v>383</v>
      </c>
      <c r="C2194">
        <v>11</v>
      </c>
      <c r="D2194">
        <v>592.15</v>
      </c>
      <c r="E2194" s="19">
        <v>45420</v>
      </c>
      <c r="F2194">
        <v>648.35</v>
      </c>
      <c r="G2194" s="19">
        <v>45434</v>
      </c>
      <c r="H2194">
        <v>-9.4908384699822754</v>
      </c>
    </row>
    <row r="2195" spans="1:8" x14ac:dyDescent="0.25">
      <c r="A2195" t="s">
        <v>301</v>
      </c>
      <c r="B2195" t="s">
        <v>385</v>
      </c>
      <c r="C2195">
        <v>4</v>
      </c>
      <c r="D2195">
        <v>629.04999999999995</v>
      </c>
      <c r="E2195" s="19">
        <v>45412</v>
      </c>
      <c r="F2195">
        <v>589.65</v>
      </c>
      <c r="G2195" s="19">
        <v>45418</v>
      </c>
      <c r="H2195">
        <v>-6.2634130832207271</v>
      </c>
    </row>
    <row r="2196" spans="1:8" x14ac:dyDescent="0.25">
      <c r="A2196" t="s">
        <v>301</v>
      </c>
      <c r="B2196" t="s">
        <v>383</v>
      </c>
      <c r="C2196">
        <v>28</v>
      </c>
      <c r="D2196">
        <v>547.35</v>
      </c>
      <c r="E2196" s="19">
        <v>45365</v>
      </c>
      <c r="F2196">
        <v>642.15</v>
      </c>
      <c r="G2196" s="19">
        <v>45408</v>
      </c>
      <c r="H2196">
        <v>-17.319813647574669</v>
      </c>
    </row>
    <row r="2197" spans="1:8" x14ac:dyDescent="0.25">
      <c r="A2197" t="s">
        <v>301</v>
      </c>
      <c r="B2197" t="s">
        <v>385</v>
      </c>
      <c r="C2197">
        <v>224</v>
      </c>
      <c r="D2197">
        <v>304.8</v>
      </c>
      <c r="E2197" s="19">
        <v>45037</v>
      </c>
      <c r="F2197">
        <v>587.54999999999995</v>
      </c>
      <c r="G2197" s="19">
        <v>45363</v>
      </c>
      <c r="H2197">
        <v>92.765748031496045</v>
      </c>
    </row>
    <row r="2198" spans="1:8" x14ac:dyDescent="0.25">
      <c r="A2198" t="s">
        <v>302</v>
      </c>
      <c r="B2198" t="s">
        <v>383</v>
      </c>
      <c r="C2198">
        <v>5</v>
      </c>
      <c r="D2198">
        <v>49.99</v>
      </c>
      <c r="E2198" s="19">
        <v>45656</v>
      </c>
      <c r="F2198">
        <v>51.51</v>
      </c>
      <c r="G2198" s="19">
        <v>45660</v>
      </c>
      <c r="H2198">
        <v>-3.040608121624317</v>
      </c>
    </row>
    <row r="2199" spans="1:8" x14ac:dyDescent="0.25">
      <c r="A2199" t="s">
        <v>302</v>
      </c>
      <c r="B2199" t="s">
        <v>385</v>
      </c>
      <c r="C2199">
        <v>10</v>
      </c>
      <c r="D2199">
        <v>52.83</v>
      </c>
      <c r="E2199" s="19">
        <v>45638</v>
      </c>
      <c r="F2199">
        <v>50.45</v>
      </c>
      <c r="G2199" s="19">
        <v>45652</v>
      </c>
      <c r="H2199">
        <v>-4.5050160893431679</v>
      </c>
    </row>
    <row r="2200" spans="1:8" x14ac:dyDescent="0.25">
      <c r="A2200" t="s">
        <v>302</v>
      </c>
      <c r="B2200" t="s">
        <v>383</v>
      </c>
      <c r="C2200">
        <v>82</v>
      </c>
      <c r="D2200">
        <v>59.44</v>
      </c>
      <c r="E2200" s="19">
        <v>45517</v>
      </c>
      <c r="F2200">
        <v>53.71</v>
      </c>
      <c r="G2200" s="19">
        <v>45636</v>
      </c>
      <c r="H2200">
        <v>9.6399730820995906</v>
      </c>
    </row>
    <row r="2201" spans="1:8" x14ac:dyDescent="0.25">
      <c r="A2201" t="s">
        <v>302</v>
      </c>
      <c r="B2201" t="s">
        <v>385</v>
      </c>
      <c r="C2201">
        <v>5</v>
      </c>
      <c r="D2201">
        <v>61.96</v>
      </c>
      <c r="E2201" s="19">
        <v>45509</v>
      </c>
      <c r="F2201">
        <v>60.9</v>
      </c>
      <c r="G2201" s="19">
        <v>45513</v>
      </c>
      <c r="H2201">
        <v>-1.710781149128473</v>
      </c>
    </row>
    <row r="2202" spans="1:8" x14ac:dyDescent="0.25">
      <c r="A2202" t="s">
        <v>302</v>
      </c>
      <c r="B2202" t="s">
        <v>383</v>
      </c>
      <c r="C2202">
        <v>40</v>
      </c>
      <c r="D2202">
        <v>62.05</v>
      </c>
      <c r="E2202" s="19">
        <v>45448</v>
      </c>
      <c r="F2202">
        <v>66.319999999999993</v>
      </c>
      <c r="G2202" s="19">
        <v>45505</v>
      </c>
      <c r="H2202">
        <v>-6.8815471394037004</v>
      </c>
    </row>
    <row r="2203" spans="1:8" x14ac:dyDescent="0.25">
      <c r="A2203" t="s">
        <v>302</v>
      </c>
      <c r="B2203" t="s">
        <v>385</v>
      </c>
      <c r="C2203">
        <v>8</v>
      </c>
      <c r="D2203">
        <v>71.45</v>
      </c>
      <c r="E2203" s="19">
        <v>45435</v>
      </c>
      <c r="F2203">
        <v>66.45</v>
      </c>
      <c r="G2203" s="19">
        <v>45446</v>
      </c>
      <c r="H2203">
        <v>-6.9979006298110562</v>
      </c>
    </row>
    <row r="2204" spans="1:8" x14ac:dyDescent="0.25">
      <c r="A2204" t="s">
        <v>302</v>
      </c>
      <c r="B2204" t="s">
        <v>383</v>
      </c>
      <c r="C2204">
        <v>42</v>
      </c>
      <c r="D2204">
        <v>59.05</v>
      </c>
      <c r="E2204" s="19">
        <v>45366</v>
      </c>
      <c r="F2204">
        <v>72.05</v>
      </c>
      <c r="G2204" s="19">
        <v>45433</v>
      </c>
      <c r="H2204">
        <v>-22.01524132091448</v>
      </c>
    </row>
    <row r="2205" spans="1:8" x14ac:dyDescent="0.25">
      <c r="A2205" t="s">
        <v>302</v>
      </c>
      <c r="B2205" t="s">
        <v>385</v>
      </c>
      <c r="C2205">
        <v>184</v>
      </c>
      <c r="D2205">
        <v>26.62</v>
      </c>
      <c r="E2205" s="19">
        <v>45097</v>
      </c>
      <c r="F2205">
        <v>56.35</v>
      </c>
      <c r="G2205" s="19">
        <v>45364</v>
      </c>
      <c r="H2205">
        <v>111.68294515401951</v>
      </c>
    </row>
    <row r="2206" spans="1:8" x14ac:dyDescent="0.25">
      <c r="A2206" t="s">
        <v>302</v>
      </c>
      <c r="B2206" t="s">
        <v>383</v>
      </c>
      <c r="C2206">
        <v>83</v>
      </c>
      <c r="D2206">
        <v>26.69</v>
      </c>
      <c r="E2206" s="19">
        <v>44971</v>
      </c>
      <c r="F2206">
        <v>25.01</v>
      </c>
      <c r="G2206" s="19">
        <v>45093</v>
      </c>
      <c r="H2206">
        <v>6.294492319220681</v>
      </c>
    </row>
    <row r="2207" spans="1:8" x14ac:dyDescent="0.25">
      <c r="A2207" t="s">
        <v>303</v>
      </c>
      <c r="B2207" t="s">
        <v>383</v>
      </c>
      <c r="C2207">
        <v>10</v>
      </c>
      <c r="D2207">
        <v>325.14999999999998</v>
      </c>
      <c r="E2207" s="19">
        <v>45646</v>
      </c>
      <c r="F2207">
        <v>332.2</v>
      </c>
      <c r="G2207" s="19">
        <v>45660</v>
      </c>
      <c r="H2207">
        <v>-2.1682300476703089</v>
      </c>
    </row>
    <row r="2208" spans="1:8" x14ac:dyDescent="0.25">
      <c r="A2208" t="s">
        <v>303</v>
      </c>
      <c r="B2208" t="s">
        <v>385</v>
      </c>
      <c r="C2208">
        <v>11</v>
      </c>
      <c r="D2208">
        <v>343.1</v>
      </c>
      <c r="E2208" s="19">
        <v>45630</v>
      </c>
      <c r="F2208">
        <v>328</v>
      </c>
      <c r="G2208" s="19">
        <v>45644</v>
      </c>
      <c r="H2208">
        <v>-4.4010492567764574</v>
      </c>
    </row>
    <row r="2209" spans="1:8" x14ac:dyDescent="0.25">
      <c r="A2209" t="s">
        <v>303</v>
      </c>
      <c r="B2209" t="s">
        <v>383</v>
      </c>
      <c r="C2209">
        <v>5</v>
      </c>
      <c r="D2209">
        <v>328.9</v>
      </c>
      <c r="E2209" s="19">
        <v>45622</v>
      </c>
      <c r="F2209">
        <v>347.6</v>
      </c>
      <c r="G2209" s="19">
        <v>45628</v>
      </c>
      <c r="H2209">
        <v>-5.6856187290970039</v>
      </c>
    </row>
    <row r="2210" spans="1:8" x14ac:dyDescent="0.25">
      <c r="A2210" t="s">
        <v>303</v>
      </c>
      <c r="B2210" t="s">
        <v>385</v>
      </c>
      <c r="C2210">
        <v>10</v>
      </c>
      <c r="D2210">
        <v>370.85</v>
      </c>
      <c r="E2210" s="19">
        <v>45603</v>
      </c>
      <c r="F2210">
        <v>315.35000000000002</v>
      </c>
      <c r="G2210" s="19">
        <v>45618</v>
      </c>
      <c r="H2210">
        <v>-14.965619522718081</v>
      </c>
    </row>
    <row r="2211" spans="1:8" x14ac:dyDescent="0.25">
      <c r="A2211" t="s">
        <v>303</v>
      </c>
      <c r="B2211" t="s">
        <v>383</v>
      </c>
      <c r="C2211">
        <v>20</v>
      </c>
      <c r="D2211">
        <v>333.05</v>
      </c>
      <c r="E2211" s="19">
        <v>45574</v>
      </c>
      <c r="F2211">
        <v>367.05</v>
      </c>
      <c r="G2211" s="19">
        <v>45601</v>
      </c>
      <c r="H2211">
        <v>-10.208677375769399</v>
      </c>
    </row>
    <row r="2212" spans="1:8" x14ac:dyDescent="0.25">
      <c r="A2212" t="s">
        <v>303</v>
      </c>
      <c r="B2212" t="s">
        <v>385</v>
      </c>
      <c r="C2212">
        <v>13</v>
      </c>
      <c r="D2212">
        <v>351.75</v>
      </c>
      <c r="E2212" s="19">
        <v>45553</v>
      </c>
      <c r="F2212">
        <v>319.7</v>
      </c>
      <c r="G2212" s="19">
        <v>45572</v>
      </c>
      <c r="H2212">
        <v>-9.1115849324804579</v>
      </c>
    </row>
    <row r="2213" spans="1:8" x14ac:dyDescent="0.25">
      <c r="A2213" t="s">
        <v>303</v>
      </c>
      <c r="B2213" t="s">
        <v>383</v>
      </c>
      <c r="C2213">
        <v>18</v>
      </c>
      <c r="D2213">
        <v>339.55</v>
      </c>
      <c r="E2213" s="19">
        <v>45526</v>
      </c>
      <c r="F2213">
        <v>342.1</v>
      </c>
      <c r="G2213" s="19">
        <v>45551</v>
      </c>
      <c r="H2213">
        <v>-0.75099396259755891</v>
      </c>
    </row>
    <row r="2214" spans="1:8" x14ac:dyDescent="0.25">
      <c r="A2214" t="s">
        <v>303</v>
      </c>
      <c r="B2214" t="s">
        <v>385</v>
      </c>
      <c r="C2214">
        <v>32</v>
      </c>
      <c r="D2214">
        <v>349.85</v>
      </c>
      <c r="E2214" s="19">
        <v>45477</v>
      </c>
      <c r="F2214">
        <v>331.95</v>
      </c>
      <c r="G2214" s="19">
        <v>45524</v>
      </c>
      <c r="H2214">
        <v>-5.1164784907817733</v>
      </c>
    </row>
    <row r="2215" spans="1:8" x14ac:dyDescent="0.25">
      <c r="A2215" t="s">
        <v>303</v>
      </c>
      <c r="B2215" t="s">
        <v>383</v>
      </c>
      <c r="C2215">
        <v>102</v>
      </c>
      <c r="D2215">
        <v>377.85</v>
      </c>
      <c r="E2215" s="19">
        <v>45324</v>
      </c>
      <c r="F2215">
        <v>326.95</v>
      </c>
      <c r="G2215" s="19">
        <v>45475</v>
      </c>
      <c r="H2215">
        <v>13.4709540823078</v>
      </c>
    </row>
    <row r="2216" spans="1:8" x14ac:dyDescent="0.25">
      <c r="A2216" t="s">
        <v>303</v>
      </c>
      <c r="B2216" t="s">
        <v>385</v>
      </c>
      <c r="C2216">
        <v>37</v>
      </c>
      <c r="D2216">
        <v>393.05</v>
      </c>
      <c r="E2216" s="19">
        <v>45268</v>
      </c>
      <c r="F2216">
        <v>381.7</v>
      </c>
      <c r="G2216" s="19">
        <v>45322</v>
      </c>
      <c r="H2216">
        <v>-2.8876733240045849</v>
      </c>
    </row>
    <row r="2217" spans="1:8" x14ac:dyDescent="0.25">
      <c r="A2217" t="s">
        <v>303</v>
      </c>
      <c r="B2217" t="s">
        <v>383</v>
      </c>
      <c r="C2217">
        <v>37</v>
      </c>
      <c r="D2217">
        <v>386.65</v>
      </c>
      <c r="E2217" s="19">
        <v>45212</v>
      </c>
      <c r="F2217">
        <v>387.5</v>
      </c>
      <c r="G2217" s="19">
        <v>45266</v>
      </c>
      <c r="H2217">
        <v>-0.21983706194233099</v>
      </c>
    </row>
    <row r="2218" spans="1:8" x14ac:dyDescent="0.25">
      <c r="A2218" t="s">
        <v>303</v>
      </c>
      <c r="B2218" t="s">
        <v>385</v>
      </c>
      <c r="C2218">
        <v>85</v>
      </c>
      <c r="D2218">
        <v>343.75</v>
      </c>
      <c r="E2218" s="19">
        <v>45086</v>
      </c>
      <c r="F2218">
        <v>388.55</v>
      </c>
      <c r="G2218" s="19">
        <v>45210</v>
      </c>
      <c r="H2218">
        <v>13.03272727272728</v>
      </c>
    </row>
    <row r="2219" spans="1:8" x14ac:dyDescent="0.25">
      <c r="A2219" t="s">
        <v>303</v>
      </c>
      <c r="B2219" t="s">
        <v>383</v>
      </c>
      <c r="C2219">
        <v>7</v>
      </c>
      <c r="D2219">
        <v>299.55</v>
      </c>
      <c r="E2219" s="19">
        <v>45076</v>
      </c>
      <c r="F2219">
        <v>318.25</v>
      </c>
      <c r="G2219" s="19">
        <v>45084</v>
      </c>
      <c r="H2219">
        <v>-6.2426973794024327</v>
      </c>
    </row>
    <row r="2220" spans="1:8" x14ac:dyDescent="0.25">
      <c r="A2220" t="s">
        <v>303</v>
      </c>
      <c r="B2220" t="s">
        <v>385</v>
      </c>
      <c r="C2220">
        <v>9</v>
      </c>
      <c r="D2220">
        <v>332.95</v>
      </c>
      <c r="E2220" s="19">
        <v>45062</v>
      </c>
      <c r="F2220">
        <v>298.95</v>
      </c>
      <c r="G2220" s="19">
        <v>45072</v>
      </c>
      <c r="H2220">
        <v>-10.211743505030791</v>
      </c>
    </row>
    <row r="2221" spans="1:8" x14ac:dyDescent="0.25">
      <c r="A2221" t="s">
        <v>304</v>
      </c>
      <c r="B2221" t="s">
        <v>385</v>
      </c>
      <c r="C2221">
        <v>58</v>
      </c>
      <c r="D2221">
        <v>526.79999999999995</v>
      </c>
      <c r="E2221" s="19">
        <v>45576</v>
      </c>
      <c r="F2221">
        <v>949.7</v>
      </c>
      <c r="G2221" s="19">
        <v>45660</v>
      </c>
      <c r="H2221">
        <v>80.277145026575567</v>
      </c>
    </row>
    <row r="2222" spans="1:8" x14ac:dyDescent="0.25">
      <c r="A2222" t="s">
        <v>304</v>
      </c>
      <c r="B2222" t="s">
        <v>383</v>
      </c>
      <c r="C2222">
        <v>27</v>
      </c>
      <c r="D2222">
        <v>482.15</v>
      </c>
      <c r="E2222" s="19">
        <v>45537</v>
      </c>
      <c r="F2222">
        <v>524.04999999999995</v>
      </c>
      <c r="G2222" s="19">
        <v>45574</v>
      </c>
      <c r="H2222">
        <v>-8.6902416260499802</v>
      </c>
    </row>
    <row r="2223" spans="1:8" x14ac:dyDescent="0.25">
      <c r="A2223" t="s">
        <v>304</v>
      </c>
      <c r="B2223" t="s">
        <v>385</v>
      </c>
      <c r="C2223">
        <v>48</v>
      </c>
      <c r="D2223">
        <v>493</v>
      </c>
      <c r="E2223" s="19">
        <v>45464</v>
      </c>
      <c r="F2223">
        <v>482.1</v>
      </c>
      <c r="G2223" s="19">
        <v>45533</v>
      </c>
      <c r="H2223">
        <v>-2.210953346855979</v>
      </c>
    </row>
    <row r="2224" spans="1:8" x14ac:dyDescent="0.25">
      <c r="A2224" t="s">
        <v>304</v>
      </c>
      <c r="B2224" t="s">
        <v>383</v>
      </c>
      <c r="C2224">
        <v>162</v>
      </c>
      <c r="D2224">
        <v>526.04999999999995</v>
      </c>
      <c r="E2224" s="19">
        <v>45224</v>
      </c>
      <c r="F2224">
        <v>496.15</v>
      </c>
      <c r="G2224" s="19">
        <v>45462</v>
      </c>
      <c r="H2224">
        <v>5.6838703545290334</v>
      </c>
    </row>
    <row r="2225" spans="1:8" x14ac:dyDescent="0.25">
      <c r="A2225" t="s">
        <v>304</v>
      </c>
      <c r="B2225" t="s">
        <v>385</v>
      </c>
      <c r="C2225">
        <v>28</v>
      </c>
      <c r="D2225">
        <v>597.4</v>
      </c>
      <c r="E2225" s="19">
        <v>45180</v>
      </c>
      <c r="F2225">
        <v>551.04999999999995</v>
      </c>
      <c r="G2225" s="19">
        <v>45219</v>
      </c>
      <c r="H2225">
        <v>-7.758620689655177</v>
      </c>
    </row>
    <row r="2226" spans="1:8" x14ac:dyDescent="0.25">
      <c r="A2226" t="s">
        <v>304</v>
      </c>
      <c r="B2226" t="s">
        <v>383</v>
      </c>
      <c r="C2226">
        <v>14</v>
      </c>
      <c r="D2226">
        <v>535.1</v>
      </c>
      <c r="E2226" s="19">
        <v>45159</v>
      </c>
      <c r="F2226">
        <v>557.70000000000005</v>
      </c>
      <c r="G2226" s="19">
        <v>45176</v>
      </c>
      <c r="H2226">
        <v>-4.2235096243692807</v>
      </c>
    </row>
    <row r="2227" spans="1:8" x14ac:dyDescent="0.25">
      <c r="A2227" t="s">
        <v>304</v>
      </c>
      <c r="B2227" t="s">
        <v>385</v>
      </c>
      <c r="C2227">
        <v>77</v>
      </c>
      <c r="D2227">
        <v>489.55</v>
      </c>
      <c r="E2227" s="19">
        <v>45044</v>
      </c>
      <c r="F2227">
        <v>528</v>
      </c>
      <c r="G2227" s="19">
        <v>45155</v>
      </c>
      <c r="H2227">
        <v>7.8541517720355403</v>
      </c>
    </row>
    <row r="2228" spans="1:8" x14ac:dyDescent="0.25">
      <c r="A2228" t="s">
        <v>305</v>
      </c>
      <c r="B2228" t="s">
        <v>383</v>
      </c>
      <c r="C2228">
        <v>110</v>
      </c>
      <c r="D2228">
        <v>5511.9</v>
      </c>
      <c r="E2228" s="19">
        <v>45502</v>
      </c>
      <c r="F2228">
        <v>4520.55</v>
      </c>
      <c r="G2228" s="19">
        <v>45660</v>
      </c>
      <c r="H2228">
        <v>17.985631089098121</v>
      </c>
    </row>
    <row r="2229" spans="1:8" x14ac:dyDescent="0.25">
      <c r="A2229" t="s">
        <v>305</v>
      </c>
      <c r="B2229" t="s">
        <v>385</v>
      </c>
      <c r="C2229">
        <v>67</v>
      </c>
      <c r="D2229">
        <v>4585.3999999999996</v>
      </c>
      <c r="E2229" s="19">
        <v>45401</v>
      </c>
      <c r="F2229">
        <v>5622.35</v>
      </c>
      <c r="G2229" s="19">
        <v>45498</v>
      </c>
      <c r="H2229">
        <v>22.614166703013929</v>
      </c>
    </row>
    <row r="2230" spans="1:8" x14ac:dyDescent="0.25">
      <c r="A2230" t="s">
        <v>305</v>
      </c>
      <c r="B2230" t="s">
        <v>383</v>
      </c>
      <c r="C2230">
        <v>116</v>
      </c>
      <c r="D2230">
        <v>4945.05</v>
      </c>
      <c r="E2230" s="19">
        <v>45229</v>
      </c>
      <c r="F2230">
        <v>4457.7</v>
      </c>
      <c r="G2230" s="19">
        <v>45398</v>
      </c>
      <c r="H2230">
        <v>9.8553098553098621</v>
      </c>
    </row>
    <row r="2231" spans="1:8" x14ac:dyDescent="0.25">
      <c r="A2231" t="s">
        <v>305</v>
      </c>
      <c r="B2231" t="s">
        <v>385</v>
      </c>
      <c r="C2231">
        <v>108</v>
      </c>
      <c r="D2231">
        <v>4334.25</v>
      </c>
      <c r="E2231" s="19">
        <v>45069</v>
      </c>
      <c r="F2231">
        <v>4984.05</v>
      </c>
      <c r="G2231" s="19">
        <v>45225</v>
      </c>
      <c r="H2231">
        <v>14.992213185672259</v>
      </c>
    </row>
    <row r="2232" spans="1:8" x14ac:dyDescent="0.25">
      <c r="A2232" t="s">
        <v>305</v>
      </c>
      <c r="B2232" t="s">
        <v>383</v>
      </c>
      <c r="C2232">
        <v>99</v>
      </c>
      <c r="D2232">
        <v>4491.3999999999996</v>
      </c>
      <c r="E2232" s="19">
        <v>44918</v>
      </c>
      <c r="F2232">
        <v>4362.3500000000004</v>
      </c>
      <c r="G2232" s="19">
        <v>45065</v>
      </c>
      <c r="H2232">
        <v>2.873268913924373</v>
      </c>
    </row>
    <row r="2233" spans="1:8" x14ac:dyDescent="0.25">
      <c r="A2233" t="s">
        <v>306</v>
      </c>
      <c r="B2233" t="s">
        <v>383</v>
      </c>
      <c r="C2233">
        <v>10</v>
      </c>
      <c r="D2233">
        <v>661.3</v>
      </c>
      <c r="E2233" s="19">
        <v>45646</v>
      </c>
      <c r="F2233">
        <v>643.15</v>
      </c>
      <c r="G2233" s="19">
        <v>45660</v>
      </c>
      <c r="H2233">
        <v>2.7445939815514859</v>
      </c>
    </row>
    <row r="2234" spans="1:8" x14ac:dyDescent="0.25">
      <c r="A2234" t="s">
        <v>306</v>
      </c>
      <c r="B2234" t="s">
        <v>385</v>
      </c>
      <c r="C2234">
        <v>5</v>
      </c>
      <c r="D2234">
        <v>701.9</v>
      </c>
      <c r="E2234" s="19">
        <v>45638</v>
      </c>
      <c r="F2234">
        <v>652.4</v>
      </c>
      <c r="G2234" s="19">
        <v>45644</v>
      </c>
      <c r="H2234">
        <v>-7.0522866505200179</v>
      </c>
    </row>
    <row r="2235" spans="1:8" x14ac:dyDescent="0.25">
      <c r="A2235" t="s">
        <v>306</v>
      </c>
      <c r="B2235" t="s">
        <v>383</v>
      </c>
      <c r="C2235">
        <v>83</v>
      </c>
      <c r="D2235">
        <v>715.25</v>
      </c>
      <c r="E2235" s="19">
        <v>45516</v>
      </c>
      <c r="F2235">
        <v>698</v>
      </c>
      <c r="G2235" s="19">
        <v>45636</v>
      </c>
      <c r="H2235">
        <v>2.4117441454037052</v>
      </c>
    </row>
    <row r="2236" spans="1:8" x14ac:dyDescent="0.25">
      <c r="A2236" t="s">
        <v>306</v>
      </c>
      <c r="B2236" t="s">
        <v>385</v>
      </c>
      <c r="C2236">
        <v>58</v>
      </c>
      <c r="D2236">
        <v>771</v>
      </c>
      <c r="E2236" s="19">
        <v>45429</v>
      </c>
      <c r="F2236">
        <v>713.1</v>
      </c>
      <c r="G2236" s="19">
        <v>45512</v>
      </c>
      <c r="H2236">
        <v>-7.5097276264591413</v>
      </c>
    </row>
    <row r="2237" spans="1:8" x14ac:dyDescent="0.25">
      <c r="A2237" t="s">
        <v>306</v>
      </c>
      <c r="B2237" t="s">
        <v>383</v>
      </c>
      <c r="C2237">
        <v>61</v>
      </c>
      <c r="D2237">
        <v>676.95</v>
      </c>
      <c r="E2237" s="19">
        <v>45336</v>
      </c>
      <c r="F2237">
        <v>621.1</v>
      </c>
      <c r="G2237" s="19">
        <v>45427</v>
      </c>
      <c r="H2237">
        <v>8.2502400472708501</v>
      </c>
    </row>
    <row r="2238" spans="1:8" x14ac:dyDescent="0.25">
      <c r="A2238" t="s">
        <v>306</v>
      </c>
      <c r="B2238" t="s">
        <v>385</v>
      </c>
      <c r="C2238">
        <v>6</v>
      </c>
      <c r="D2238">
        <v>726.75</v>
      </c>
      <c r="E2238" s="19">
        <v>45327</v>
      </c>
      <c r="F2238">
        <v>679.9</v>
      </c>
      <c r="G2238" s="19">
        <v>45334</v>
      </c>
      <c r="H2238">
        <v>-6.4465084279325788</v>
      </c>
    </row>
    <row r="2239" spans="1:8" x14ac:dyDescent="0.25">
      <c r="A2239" t="s">
        <v>306</v>
      </c>
      <c r="B2239" t="s">
        <v>383</v>
      </c>
      <c r="C2239">
        <v>7</v>
      </c>
      <c r="D2239">
        <v>691.3</v>
      </c>
      <c r="E2239" s="19">
        <v>45314</v>
      </c>
      <c r="F2239">
        <v>748.4</v>
      </c>
      <c r="G2239" s="19">
        <v>45323</v>
      </c>
      <c r="H2239">
        <v>-8.2598003761029979</v>
      </c>
    </row>
    <row r="2240" spans="1:8" x14ac:dyDescent="0.25">
      <c r="A2240" t="s">
        <v>306</v>
      </c>
      <c r="B2240" t="s">
        <v>385</v>
      </c>
      <c r="C2240">
        <v>30</v>
      </c>
      <c r="D2240">
        <v>740.65</v>
      </c>
      <c r="E2240" s="19">
        <v>45268</v>
      </c>
      <c r="F2240">
        <v>700.9</v>
      </c>
      <c r="G2240" s="19">
        <v>45310</v>
      </c>
      <c r="H2240">
        <v>-5.3669074461621546</v>
      </c>
    </row>
    <row r="2241" spans="1:8" x14ac:dyDescent="0.25">
      <c r="A2241" t="s">
        <v>306</v>
      </c>
      <c r="B2241" t="s">
        <v>383</v>
      </c>
      <c r="C2241">
        <v>47</v>
      </c>
      <c r="D2241">
        <v>691.5</v>
      </c>
      <c r="E2241" s="19">
        <v>45197</v>
      </c>
      <c r="F2241">
        <v>722.35</v>
      </c>
      <c r="G2241" s="19">
        <v>45266</v>
      </c>
      <c r="H2241">
        <v>-4.4613159797541613</v>
      </c>
    </row>
    <row r="2242" spans="1:8" x14ac:dyDescent="0.25">
      <c r="A2242" t="s">
        <v>306</v>
      </c>
      <c r="B2242" t="s">
        <v>385</v>
      </c>
      <c r="C2242">
        <v>100</v>
      </c>
      <c r="D2242">
        <v>529.79999999999995</v>
      </c>
      <c r="E2242" s="19">
        <v>45051</v>
      </c>
      <c r="F2242">
        <v>700.25</v>
      </c>
      <c r="G2242" s="19">
        <v>45195</v>
      </c>
      <c r="H2242">
        <v>32.172517931294841</v>
      </c>
    </row>
    <row r="2243" spans="1:8" x14ac:dyDescent="0.25">
      <c r="A2243" t="s">
        <v>307</v>
      </c>
      <c r="B2243" t="s">
        <v>383</v>
      </c>
      <c r="C2243">
        <v>71</v>
      </c>
      <c r="D2243">
        <v>2439.9499999999998</v>
      </c>
      <c r="E2243" s="19">
        <v>45558</v>
      </c>
      <c r="F2243">
        <v>2284.9</v>
      </c>
      <c r="G2243" s="19">
        <v>45660</v>
      </c>
      <c r="H2243">
        <v>6.3546384147216024</v>
      </c>
    </row>
    <row r="2244" spans="1:8" x14ac:dyDescent="0.25">
      <c r="A2244" t="s">
        <v>307</v>
      </c>
      <c r="B2244" t="s">
        <v>385</v>
      </c>
      <c r="C2244">
        <v>38</v>
      </c>
      <c r="D2244">
        <v>2509.0500000000002</v>
      </c>
      <c r="E2244" s="19">
        <v>45502</v>
      </c>
      <c r="F2244">
        <v>2402</v>
      </c>
      <c r="G2244" s="19">
        <v>45554</v>
      </c>
      <c r="H2244">
        <v>-4.2665550706442747</v>
      </c>
    </row>
    <row r="2245" spans="1:8" x14ac:dyDescent="0.25">
      <c r="A2245" t="s">
        <v>307</v>
      </c>
      <c r="B2245" t="s">
        <v>383</v>
      </c>
      <c r="C2245">
        <v>2</v>
      </c>
      <c r="D2245">
        <v>2367.65</v>
      </c>
      <c r="E2245" s="19">
        <v>45497</v>
      </c>
      <c r="F2245">
        <v>2399.8000000000002</v>
      </c>
      <c r="G2245" s="19">
        <v>45498</v>
      </c>
      <c r="H2245">
        <v>-1.357886511942225</v>
      </c>
    </row>
    <row r="2246" spans="1:8" x14ac:dyDescent="0.25">
      <c r="A2246" t="s">
        <v>307</v>
      </c>
      <c r="B2246" t="s">
        <v>385</v>
      </c>
      <c r="C2246">
        <v>15</v>
      </c>
      <c r="D2246">
        <v>2462.4</v>
      </c>
      <c r="E2246" s="19">
        <v>45474</v>
      </c>
      <c r="F2246">
        <v>2367.5500000000002</v>
      </c>
      <c r="G2246" s="19">
        <v>45495</v>
      </c>
      <c r="H2246">
        <v>-3.851933073424298</v>
      </c>
    </row>
    <row r="2247" spans="1:8" x14ac:dyDescent="0.25">
      <c r="A2247" t="s">
        <v>307</v>
      </c>
      <c r="B2247" t="s">
        <v>383</v>
      </c>
      <c r="C2247">
        <v>32</v>
      </c>
      <c r="D2247">
        <v>2286.75</v>
      </c>
      <c r="E2247" s="19">
        <v>45426</v>
      </c>
      <c r="F2247">
        <v>2458.85</v>
      </c>
      <c r="G2247" s="19">
        <v>45470</v>
      </c>
      <c r="H2247">
        <v>-7.5259647972012633</v>
      </c>
    </row>
    <row r="2248" spans="1:8" x14ac:dyDescent="0.25">
      <c r="A2248" t="s">
        <v>307</v>
      </c>
      <c r="B2248" t="s">
        <v>385</v>
      </c>
      <c r="C2248">
        <v>50</v>
      </c>
      <c r="D2248">
        <v>2400.5500000000002</v>
      </c>
      <c r="E2248" s="19">
        <v>45348</v>
      </c>
      <c r="F2248">
        <v>2278.0500000000002</v>
      </c>
      <c r="G2248" s="19">
        <v>45422</v>
      </c>
      <c r="H2248">
        <v>-5.1029972298015034</v>
      </c>
    </row>
    <row r="2249" spans="1:8" x14ac:dyDescent="0.25">
      <c r="A2249" t="s">
        <v>307</v>
      </c>
      <c r="B2249" t="s">
        <v>383</v>
      </c>
      <c r="C2249">
        <v>24</v>
      </c>
      <c r="D2249">
        <v>2309</v>
      </c>
      <c r="E2249" s="19">
        <v>45310</v>
      </c>
      <c r="F2249">
        <v>2409</v>
      </c>
      <c r="G2249" s="19">
        <v>45344</v>
      </c>
      <c r="H2249">
        <v>-4.3308791684711991</v>
      </c>
    </row>
    <row r="2250" spans="1:8" x14ac:dyDescent="0.25">
      <c r="A2250" t="s">
        <v>307</v>
      </c>
      <c r="B2250" t="s">
        <v>385</v>
      </c>
      <c r="C2250">
        <v>45</v>
      </c>
      <c r="D2250">
        <v>2336.9499999999998</v>
      </c>
      <c r="E2250" s="19">
        <v>45243</v>
      </c>
      <c r="F2250">
        <v>2309.6</v>
      </c>
      <c r="G2250" s="19">
        <v>45308</v>
      </c>
      <c r="H2250">
        <v>-1.1703288474293381</v>
      </c>
    </row>
    <row r="2251" spans="1:8" x14ac:dyDescent="0.25">
      <c r="A2251" t="s">
        <v>307</v>
      </c>
      <c r="B2251" t="s">
        <v>383</v>
      </c>
      <c r="C2251">
        <v>29</v>
      </c>
      <c r="D2251">
        <v>2249.4</v>
      </c>
      <c r="E2251" s="19">
        <v>45198</v>
      </c>
      <c r="F2251">
        <v>2351.1999999999998</v>
      </c>
      <c r="G2251" s="19">
        <v>45240</v>
      </c>
      <c r="H2251">
        <v>-4.5256512847870418</v>
      </c>
    </row>
    <row r="2252" spans="1:8" x14ac:dyDescent="0.25">
      <c r="A2252" t="s">
        <v>307</v>
      </c>
      <c r="B2252" t="s">
        <v>385</v>
      </c>
      <c r="C2252">
        <v>19</v>
      </c>
      <c r="D2252">
        <v>2360</v>
      </c>
      <c r="E2252" s="19">
        <v>45169</v>
      </c>
      <c r="F2252">
        <v>2261.6999999999998</v>
      </c>
      <c r="G2252" s="19">
        <v>45196</v>
      </c>
      <c r="H2252">
        <v>-4.1652542372881438</v>
      </c>
    </row>
    <row r="2253" spans="1:8" x14ac:dyDescent="0.25">
      <c r="A2253" t="s">
        <v>307</v>
      </c>
      <c r="B2253" t="s">
        <v>383</v>
      </c>
      <c r="C2253">
        <v>51</v>
      </c>
      <c r="D2253">
        <v>2397.8000000000002</v>
      </c>
      <c r="E2253" s="19">
        <v>45093</v>
      </c>
      <c r="F2253">
        <v>2378</v>
      </c>
      <c r="G2253" s="19">
        <v>45167</v>
      </c>
      <c r="H2253">
        <v>0.82575694386521725</v>
      </c>
    </row>
    <row r="2254" spans="1:8" x14ac:dyDescent="0.25">
      <c r="A2254" t="s">
        <v>307</v>
      </c>
      <c r="B2254" t="s">
        <v>385</v>
      </c>
      <c r="C2254">
        <v>64</v>
      </c>
      <c r="D2254">
        <v>2292.5500000000002</v>
      </c>
      <c r="E2254" s="19">
        <v>44995</v>
      </c>
      <c r="F2254">
        <v>2350.6999999999998</v>
      </c>
      <c r="G2254" s="19">
        <v>45091</v>
      </c>
      <c r="H2254">
        <v>2.5364768489236722</v>
      </c>
    </row>
    <row r="2255" spans="1:8" x14ac:dyDescent="0.25">
      <c r="A2255" t="s">
        <v>308</v>
      </c>
      <c r="B2255" t="s">
        <v>383</v>
      </c>
      <c r="C2255">
        <v>4</v>
      </c>
      <c r="D2255">
        <v>794.95</v>
      </c>
      <c r="E2255" s="19">
        <v>45657</v>
      </c>
      <c r="F2255">
        <v>793.4</v>
      </c>
      <c r="G2255" s="19">
        <v>45660</v>
      </c>
      <c r="H2255">
        <v>0.194980816403556</v>
      </c>
    </row>
    <row r="2256" spans="1:8" x14ac:dyDescent="0.25">
      <c r="A2256" t="s">
        <v>308</v>
      </c>
      <c r="B2256" t="s">
        <v>385</v>
      </c>
      <c r="C2256">
        <v>37</v>
      </c>
      <c r="D2256">
        <v>829.85</v>
      </c>
      <c r="E2256" s="19">
        <v>45600</v>
      </c>
      <c r="F2256">
        <v>799.65</v>
      </c>
      <c r="G2256" s="19">
        <v>45653</v>
      </c>
      <c r="H2256">
        <v>-3.6392119057661079</v>
      </c>
    </row>
    <row r="2257" spans="1:8" x14ac:dyDescent="0.25">
      <c r="A2257" t="s">
        <v>308</v>
      </c>
      <c r="B2257" t="s">
        <v>383</v>
      </c>
      <c r="C2257">
        <v>56</v>
      </c>
      <c r="D2257">
        <v>797.55</v>
      </c>
      <c r="E2257" s="19">
        <v>45517</v>
      </c>
      <c r="F2257">
        <v>820.2</v>
      </c>
      <c r="G2257" s="19">
        <v>45596</v>
      </c>
      <c r="H2257">
        <v>-2.8399473387248571</v>
      </c>
    </row>
    <row r="2258" spans="1:8" x14ac:dyDescent="0.25">
      <c r="A2258" t="s">
        <v>308</v>
      </c>
      <c r="B2258" t="s">
        <v>385</v>
      </c>
      <c r="C2258">
        <v>168</v>
      </c>
      <c r="D2258">
        <v>611.70000000000005</v>
      </c>
      <c r="E2258" s="19">
        <v>45267</v>
      </c>
      <c r="F2258">
        <v>824.3</v>
      </c>
      <c r="G2258" s="19">
        <v>45513</v>
      </c>
      <c r="H2258">
        <v>34.755599149910068</v>
      </c>
    </row>
    <row r="2259" spans="1:8" x14ac:dyDescent="0.25">
      <c r="A2259" t="s">
        <v>308</v>
      </c>
      <c r="B2259" t="s">
        <v>383</v>
      </c>
      <c r="C2259">
        <v>32</v>
      </c>
      <c r="D2259">
        <v>571.20000000000005</v>
      </c>
      <c r="E2259" s="19">
        <v>45218</v>
      </c>
      <c r="F2259">
        <v>608.25</v>
      </c>
      <c r="G2259" s="19">
        <v>45265</v>
      </c>
      <c r="H2259">
        <v>-6.4863445378151168</v>
      </c>
    </row>
    <row r="2260" spans="1:8" x14ac:dyDescent="0.25">
      <c r="A2260" t="s">
        <v>308</v>
      </c>
      <c r="B2260" t="s">
        <v>385</v>
      </c>
      <c r="C2260">
        <v>21</v>
      </c>
      <c r="D2260">
        <v>598.79999999999995</v>
      </c>
      <c r="E2260" s="19">
        <v>45184</v>
      </c>
      <c r="F2260">
        <v>576.45000000000005</v>
      </c>
      <c r="G2260" s="19">
        <v>45216</v>
      </c>
      <c r="H2260">
        <v>-3.732464929859705</v>
      </c>
    </row>
    <row r="2261" spans="1:8" x14ac:dyDescent="0.25">
      <c r="A2261" t="s">
        <v>308</v>
      </c>
      <c r="B2261" t="s">
        <v>383</v>
      </c>
      <c r="C2261">
        <v>20</v>
      </c>
      <c r="D2261">
        <v>571.25</v>
      </c>
      <c r="E2261" s="19">
        <v>45155</v>
      </c>
      <c r="F2261">
        <v>596.45000000000005</v>
      </c>
      <c r="G2261" s="19">
        <v>45182</v>
      </c>
      <c r="H2261">
        <v>-4.4113785557986951</v>
      </c>
    </row>
    <row r="2262" spans="1:8" x14ac:dyDescent="0.25">
      <c r="A2262" t="s">
        <v>308</v>
      </c>
      <c r="B2262" t="s">
        <v>385</v>
      </c>
      <c r="C2262">
        <v>76</v>
      </c>
      <c r="D2262">
        <v>564.75</v>
      </c>
      <c r="E2262" s="19">
        <v>45043</v>
      </c>
      <c r="F2262">
        <v>561</v>
      </c>
      <c r="G2262" s="19">
        <v>45152</v>
      </c>
      <c r="H2262">
        <v>-0.66401062416998669</v>
      </c>
    </row>
    <row r="2263" spans="1:8" x14ac:dyDescent="0.25">
      <c r="A2263" t="s">
        <v>309</v>
      </c>
      <c r="B2263" t="s">
        <v>385</v>
      </c>
      <c r="C2263">
        <v>14</v>
      </c>
      <c r="D2263">
        <v>225.04</v>
      </c>
      <c r="E2263" s="19">
        <v>45642</v>
      </c>
      <c r="F2263">
        <v>227.97</v>
      </c>
      <c r="G2263" s="19">
        <v>45660</v>
      </c>
      <c r="H2263">
        <v>1.301990757198723</v>
      </c>
    </row>
    <row r="2264" spans="1:8" x14ac:dyDescent="0.25">
      <c r="A2264" t="s">
        <v>309</v>
      </c>
      <c r="B2264" t="s">
        <v>383</v>
      </c>
      <c r="C2264">
        <v>54</v>
      </c>
      <c r="D2264">
        <v>206.99</v>
      </c>
      <c r="E2264" s="19">
        <v>45560</v>
      </c>
      <c r="F2264">
        <v>220.24</v>
      </c>
      <c r="G2264" s="19">
        <v>45638</v>
      </c>
      <c r="H2264">
        <v>-6.4012754239335239</v>
      </c>
    </row>
    <row r="2265" spans="1:8" x14ac:dyDescent="0.25">
      <c r="A2265" t="s">
        <v>309</v>
      </c>
      <c r="B2265" t="s">
        <v>385</v>
      </c>
      <c r="C2265">
        <v>22</v>
      </c>
      <c r="D2265">
        <v>222.65</v>
      </c>
      <c r="E2265" s="19">
        <v>45527</v>
      </c>
      <c r="F2265">
        <v>209.9</v>
      </c>
      <c r="G2265" s="19">
        <v>45558</v>
      </c>
      <c r="H2265">
        <v>-5.7264765326746012</v>
      </c>
    </row>
    <row r="2266" spans="1:8" x14ac:dyDescent="0.25">
      <c r="A2266" t="s">
        <v>309</v>
      </c>
      <c r="B2266" t="s">
        <v>383</v>
      </c>
      <c r="C2266">
        <v>53</v>
      </c>
      <c r="D2266">
        <v>211.6</v>
      </c>
      <c r="E2266" s="19">
        <v>45448</v>
      </c>
      <c r="F2266">
        <v>224.79</v>
      </c>
      <c r="G2266" s="19">
        <v>45525</v>
      </c>
      <c r="H2266">
        <v>-6.2334593572778818</v>
      </c>
    </row>
    <row r="2267" spans="1:8" x14ac:dyDescent="0.25">
      <c r="A2267" t="s">
        <v>309</v>
      </c>
      <c r="B2267" t="s">
        <v>385</v>
      </c>
      <c r="C2267">
        <v>286</v>
      </c>
      <c r="D2267">
        <v>114.35</v>
      </c>
      <c r="E2267" s="19">
        <v>45026</v>
      </c>
      <c r="F2267">
        <v>215.15</v>
      </c>
      <c r="G2267" s="19">
        <v>45446</v>
      </c>
      <c r="H2267">
        <v>88.150415391342392</v>
      </c>
    </row>
    <row r="2268" spans="1:8" x14ac:dyDescent="0.25">
      <c r="A2268" t="s">
        <v>310</v>
      </c>
      <c r="B2268" t="s">
        <v>385</v>
      </c>
      <c r="C2268">
        <v>173</v>
      </c>
      <c r="D2268">
        <v>354.45</v>
      </c>
      <c r="E2268" s="19">
        <v>45408</v>
      </c>
      <c r="F2268">
        <v>554.15</v>
      </c>
      <c r="G2268" s="19">
        <v>45660</v>
      </c>
      <c r="H2268">
        <v>56.34080970517703</v>
      </c>
    </row>
    <row r="2269" spans="1:8" x14ac:dyDescent="0.25">
      <c r="A2269" t="s">
        <v>310</v>
      </c>
      <c r="B2269" t="s">
        <v>383</v>
      </c>
      <c r="C2269">
        <v>47</v>
      </c>
      <c r="D2269">
        <v>354.7</v>
      </c>
      <c r="E2269" s="19">
        <v>45336</v>
      </c>
      <c r="F2269">
        <v>357.25</v>
      </c>
      <c r="G2269" s="19">
        <v>45406</v>
      </c>
      <c r="H2269">
        <v>-0.71891739498167795</v>
      </c>
    </row>
    <row r="2270" spans="1:8" x14ac:dyDescent="0.25">
      <c r="A2270" t="s">
        <v>310</v>
      </c>
      <c r="B2270" t="s">
        <v>385</v>
      </c>
      <c r="C2270">
        <v>27</v>
      </c>
      <c r="D2270">
        <v>384.9</v>
      </c>
      <c r="E2270" s="19">
        <v>45295</v>
      </c>
      <c r="F2270">
        <v>337.5</v>
      </c>
      <c r="G2270" s="19">
        <v>45334</v>
      </c>
      <c r="H2270">
        <v>-12.31488698363211</v>
      </c>
    </row>
    <row r="2271" spans="1:8" x14ac:dyDescent="0.25">
      <c r="A2271" t="s">
        <v>310</v>
      </c>
      <c r="B2271" t="s">
        <v>383</v>
      </c>
      <c r="C2271">
        <v>45</v>
      </c>
      <c r="D2271">
        <v>363.8</v>
      </c>
      <c r="E2271" s="19">
        <v>45229</v>
      </c>
      <c r="F2271">
        <v>361.55</v>
      </c>
      <c r="G2271" s="19">
        <v>45293</v>
      </c>
      <c r="H2271">
        <v>0.61847168774051675</v>
      </c>
    </row>
    <row r="2272" spans="1:8" x14ac:dyDescent="0.25">
      <c r="A2272" t="s">
        <v>310</v>
      </c>
      <c r="B2272" t="s">
        <v>385</v>
      </c>
      <c r="C2272">
        <v>36</v>
      </c>
      <c r="D2272">
        <v>378.65</v>
      </c>
      <c r="E2272" s="19">
        <v>45173</v>
      </c>
      <c r="F2272">
        <v>345.5</v>
      </c>
      <c r="G2272" s="19">
        <v>45225</v>
      </c>
      <c r="H2272">
        <v>-8.7547867423742183</v>
      </c>
    </row>
    <row r="2273" spans="1:8" x14ac:dyDescent="0.25">
      <c r="A2273" t="s">
        <v>310</v>
      </c>
      <c r="B2273" t="s">
        <v>383</v>
      </c>
      <c r="C2273">
        <v>74</v>
      </c>
      <c r="D2273">
        <v>348.35</v>
      </c>
      <c r="E2273" s="19">
        <v>45064</v>
      </c>
      <c r="F2273">
        <v>372.1</v>
      </c>
      <c r="G2273" s="19">
        <v>45169</v>
      </c>
      <c r="H2273">
        <v>-6.8178556049949757</v>
      </c>
    </row>
    <row r="2274" spans="1:8" x14ac:dyDescent="0.25">
      <c r="A2274" t="s">
        <v>310</v>
      </c>
      <c r="B2274" t="s">
        <v>385</v>
      </c>
      <c r="C2274">
        <v>133</v>
      </c>
      <c r="D2274">
        <v>254.75</v>
      </c>
      <c r="E2274" s="19">
        <v>44866</v>
      </c>
      <c r="F2274">
        <v>357.45</v>
      </c>
      <c r="G2274" s="19">
        <v>45062</v>
      </c>
      <c r="H2274">
        <v>40.314033366045138</v>
      </c>
    </row>
    <row r="2275" spans="1:8" x14ac:dyDescent="0.25">
      <c r="A2275" t="s">
        <v>311</v>
      </c>
      <c r="B2275" t="s">
        <v>385</v>
      </c>
      <c r="C2275">
        <v>136</v>
      </c>
      <c r="D2275">
        <v>1671.45</v>
      </c>
      <c r="E2275" s="19">
        <v>45463</v>
      </c>
      <c r="F2275">
        <v>2303.0500000000002</v>
      </c>
      <c r="G2275" s="19">
        <v>45660</v>
      </c>
      <c r="H2275">
        <v>37.787549732268403</v>
      </c>
    </row>
    <row r="2276" spans="1:8" x14ac:dyDescent="0.25">
      <c r="A2276" t="s">
        <v>311</v>
      </c>
      <c r="B2276" t="s">
        <v>383</v>
      </c>
      <c r="C2276">
        <v>26</v>
      </c>
      <c r="D2276">
        <v>1583.65</v>
      </c>
      <c r="E2276" s="19">
        <v>45425</v>
      </c>
      <c r="F2276">
        <v>1671.85</v>
      </c>
      <c r="G2276" s="19">
        <v>45461</v>
      </c>
      <c r="H2276">
        <v>-5.5694124333028006</v>
      </c>
    </row>
    <row r="2277" spans="1:8" x14ac:dyDescent="0.25">
      <c r="A2277" t="s">
        <v>311</v>
      </c>
      <c r="B2277" t="s">
        <v>385</v>
      </c>
      <c r="C2277">
        <v>19</v>
      </c>
      <c r="D2277">
        <v>1706.9</v>
      </c>
      <c r="E2277" s="19">
        <v>45392</v>
      </c>
      <c r="F2277">
        <v>1592.95</v>
      </c>
      <c r="G2277" s="19">
        <v>45421</v>
      </c>
      <c r="H2277">
        <v>-6.6758450993028324</v>
      </c>
    </row>
    <row r="2278" spans="1:8" x14ac:dyDescent="0.25">
      <c r="A2278" t="s">
        <v>311</v>
      </c>
      <c r="B2278" t="s">
        <v>383</v>
      </c>
      <c r="C2278">
        <v>68</v>
      </c>
      <c r="D2278">
        <v>1705</v>
      </c>
      <c r="E2278" s="19">
        <v>45292</v>
      </c>
      <c r="F2278">
        <v>1714.05</v>
      </c>
      <c r="G2278" s="19">
        <v>45390</v>
      </c>
      <c r="H2278">
        <v>-0.53079178885630229</v>
      </c>
    </row>
    <row r="2279" spans="1:8" x14ac:dyDescent="0.25">
      <c r="A2279" t="s">
        <v>311</v>
      </c>
      <c r="B2279" t="s">
        <v>385</v>
      </c>
      <c r="C2279">
        <v>33</v>
      </c>
      <c r="D2279">
        <v>1720.95</v>
      </c>
      <c r="E2279" s="19">
        <v>45240</v>
      </c>
      <c r="F2279">
        <v>1730</v>
      </c>
      <c r="G2279" s="19">
        <v>45288</v>
      </c>
      <c r="H2279">
        <v>0.52587233795287214</v>
      </c>
    </row>
    <row r="2280" spans="1:8" x14ac:dyDescent="0.25">
      <c r="A2280" t="s">
        <v>311</v>
      </c>
      <c r="B2280" t="s">
        <v>383</v>
      </c>
      <c r="C2280">
        <v>9</v>
      </c>
      <c r="D2280">
        <v>1661</v>
      </c>
      <c r="E2280" s="19">
        <v>45226</v>
      </c>
      <c r="F2280">
        <v>1736</v>
      </c>
      <c r="G2280" s="19">
        <v>45238</v>
      </c>
      <c r="H2280">
        <v>-4.5153521974714028</v>
      </c>
    </row>
    <row r="2281" spans="1:8" x14ac:dyDescent="0.25">
      <c r="A2281" t="s">
        <v>311</v>
      </c>
      <c r="B2281" t="s">
        <v>385</v>
      </c>
      <c r="C2281">
        <v>126</v>
      </c>
      <c r="D2281">
        <v>1120.95</v>
      </c>
      <c r="E2281" s="19">
        <v>45041</v>
      </c>
      <c r="F2281">
        <v>1576</v>
      </c>
      <c r="G2281" s="19">
        <v>45224</v>
      </c>
      <c r="H2281">
        <v>40.59503100049065</v>
      </c>
    </row>
    <row r="2282" spans="1:8" x14ac:dyDescent="0.25">
      <c r="A2282" t="s">
        <v>312</v>
      </c>
      <c r="B2282" t="s">
        <v>385</v>
      </c>
      <c r="C2282">
        <v>20</v>
      </c>
      <c r="D2282">
        <v>2757.55</v>
      </c>
      <c r="E2282" s="19">
        <v>45632</v>
      </c>
      <c r="F2282">
        <v>2954.65</v>
      </c>
      <c r="G2282" s="19">
        <v>45660</v>
      </c>
      <c r="H2282">
        <v>7.1476491813385028</v>
      </c>
    </row>
    <row r="2283" spans="1:8" x14ac:dyDescent="0.25">
      <c r="A2283" t="s">
        <v>312</v>
      </c>
      <c r="B2283" t="s">
        <v>383</v>
      </c>
      <c r="C2283">
        <v>13</v>
      </c>
      <c r="D2283">
        <v>2374.1999999999998</v>
      </c>
      <c r="E2283" s="19">
        <v>45610</v>
      </c>
      <c r="F2283">
        <v>2513.4</v>
      </c>
      <c r="G2283" s="19">
        <v>45630</v>
      </c>
      <c r="H2283">
        <v>-5.8630275461208106</v>
      </c>
    </row>
    <row r="2284" spans="1:8" x14ac:dyDescent="0.25">
      <c r="A2284" t="s">
        <v>312</v>
      </c>
      <c r="B2284" t="s">
        <v>385</v>
      </c>
      <c r="C2284">
        <v>1</v>
      </c>
      <c r="D2284">
        <v>2481.65</v>
      </c>
      <c r="E2284" s="19">
        <v>45608</v>
      </c>
      <c r="F2284">
        <v>2481.65</v>
      </c>
      <c r="G2284" s="19">
        <v>45608</v>
      </c>
      <c r="H2284">
        <v>0</v>
      </c>
    </row>
    <row r="2285" spans="1:8" x14ac:dyDescent="0.25">
      <c r="A2285" t="s">
        <v>312</v>
      </c>
      <c r="B2285" t="s">
        <v>383</v>
      </c>
      <c r="C2285">
        <v>10</v>
      </c>
      <c r="D2285">
        <v>2430.9</v>
      </c>
      <c r="E2285" s="19">
        <v>45593</v>
      </c>
      <c r="F2285">
        <v>2528.6</v>
      </c>
      <c r="G2285" s="19">
        <v>45604</v>
      </c>
      <c r="H2285">
        <v>-4.0190875807314086</v>
      </c>
    </row>
    <row r="2286" spans="1:8" x14ac:dyDescent="0.25">
      <c r="A2286" t="s">
        <v>312</v>
      </c>
      <c r="B2286" t="s">
        <v>385</v>
      </c>
      <c r="C2286">
        <v>6</v>
      </c>
      <c r="D2286">
        <v>2539.65</v>
      </c>
      <c r="E2286" s="19">
        <v>45582</v>
      </c>
      <c r="F2286">
        <v>2430.4</v>
      </c>
      <c r="G2286" s="19">
        <v>45589</v>
      </c>
      <c r="H2286">
        <v>-4.3017738664776646</v>
      </c>
    </row>
    <row r="2287" spans="1:8" x14ac:dyDescent="0.25">
      <c r="A2287" t="s">
        <v>312</v>
      </c>
      <c r="B2287" t="s">
        <v>383</v>
      </c>
      <c r="C2287">
        <v>5</v>
      </c>
      <c r="D2287">
        <v>2406.8000000000002</v>
      </c>
      <c r="E2287" s="19">
        <v>45574</v>
      </c>
      <c r="F2287">
        <v>2650.95</v>
      </c>
      <c r="G2287" s="19">
        <v>45580</v>
      </c>
      <c r="H2287">
        <v>-10.144174837959101</v>
      </c>
    </row>
    <row r="2288" spans="1:8" x14ac:dyDescent="0.25">
      <c r="A2288" t="s">
        <v>312</v>
      </c>
      <c r="B2288" t="s">
        <v>385</v>
      </c>
      <c r="C2288">
        <v>124</v>
      </c>
      <c r="D2288">
        <v>1523.25</v>
      </c>
      <c r="E2288" s="19">
        <v>45390</v>
      </c>
      <c r="F2288">
        <v>2368.5</v>
      </c>
      <c r="G2288" s="19">
        <v>45572</v>
      </c>
      <c r="H2288">
        <v>55.48990645002462</v>
      </c>
    </row>
    <row r="2289" spans="1:8" x14ac:dyDescent="0.25">
      <c r="A2289" t="s">
        <v>312</v>
      </c>
      <c r="B2289" t="s">
        <v>383</v>
      </c>
      <c r="C2289">
        <v>22</v>
      </c>
      <c r="D2289">
        <v>1445.85</v>
      </c>
      <c r="E2289" s="19">
        <v>45353</v>
      </c>
      <c r="F2289">
        <v>1554.7</v>
      </c>
      <c r="G2289" s="19">
        <v>45386</v>
      </c>
      <c r="H2289">
        <v>-7.5284434761559051</v>
      </c>
    </row>
    <row r="2290" spans="1:8" x14ac:dyDescent="0.25">
      <c r="A2290" t="s">
        <v>312</v>
      </c>
      <c r="B2290" t="s">
        <v>385</v>
      </c>
      <c r="C2290">
        <v>94</v>
      </c>
      <c r="D2290">
        <v>1258.45</v>
      </c>
      <c r="E2290" s="19">
        <v>45216</v>
      </c>
      <c r="F2290">
        <v>1446.6</v>
      </c>
      <c r="G2290" s="19">
        <v>45351</v>
      </c>
      <c r="H2290">
        <v>14.95093170169652</v>
      </c>
    </row>
    <row r="2291" spans="1:8" x14ac:dyDescent="0.25">
      <c r="A2291" t="s">
        <v>312</v>
      </c>
      <c r="B2291" t="s">
        <v>383</v>
      </c>
      <c r="C2291">
        <v>21</v>
      </c>
      <c r="D2291">
        <v>1064.5999999999999</v>
      </c>
      <c r="E2291" s="19">
        <v>45182</v>
      </c>
      <c r="F2291">
        <v>1156.3</v>
      </c>
      <c r="G2291" s="19">
        <v>45212</v>
      </c>
      <c r="H2291">
        <v>-8.6135637798234139</v>
      </c>
    </row>
    <row r="2292" spans="1:8" x14ac:dyDescent="0.25">
      <c r="A2292" t="s">
        <v>312</v>
      </c>
      <c r="B2292" t="s">
        <v>385</v>
      </c>
      <c r="C2292">
        <v>101</v>
      </c>
      <c r="D2292">
        <v>798.7</v>
      </c>
      <c r="E2292" s="19">
        <v>45035</v>
      </c>
      <c r="F2292">
        <v>1054.2</v>
      </c>
      <c r="G2292" s="19">
        <v>45180</v>
      </c>
      <c r="H2292">
        <v>31.989482909728309</v>
      </c>
    </row>
    <row r="2293" spans="1:8" x14ac:dyDescent="0.25">
      <c r="A2293" t="s">
        <v>313</v>
      </c>
      <c r="B2293" t="s">
        <v>385</v>
      </c>
      <c r="C2293">
        <v>22</v>
      </c>
      <c r="D2293">
        <v>1118.7</v>
      </c>
      <c r="E2293" s="19">
        <v>45630</v>
      </c>
      <c r="F2293">
        <v>1154.55</v>
      </c>
      <c r="G2293" s="19">
        <v>45660</v>
      </c>
      <c r="H2293">
        <v>3.2046124966478859</v>
      </c>
    </row>
    <row r="2294" spans="1:8" x14ac:dyDescent="0.25">
      <c r="A2294" t="s">
        <v>313</v>
      </c>
      <c r="B2294" t="s">
        <v>383</v>
      </c>
      <c r="C2294">
        <v>21</v>
      </c>
      <c r="D2294">
        <v>1046.5999999999999</v>
      </c>
      <c r="E2294" s="19">
        <v>45596</v>
      </c>
      <c r="F2294">
        <v>1061.75</v>
      </c>
      <c r="G2294" s="19">
        <v>45628</v>
      </c>
      <c r="H2294">
        <v>-1.447544429581511</v>
      </c>
    </row>
    <row r="2295" spans="1:8" x14ac:dyDescent="0.25">
      <c r="A2295" t="s">
        <v>313</v>
      </c>
      <c r="B2295" t="s">
        <v>385</v>
      </c>
      <c r="C2295">
        <v>218</v>
      </c>
      <c r="D2295">
        <v>499.75</v>
      </c>
      <c r="E2295" s="19">
        <v>45274</v>
      </c>
      <c r="F2295">
        <v>952.85</v>
      </c>
      <c r="G2295" s="19">
        <v>45594</v>
      </c>
      <c r="H2295">
        <v>90.665332666333171</v>
      </c>
    </row>
    <row r="2296" spans="1:8" x14ac:dyDescent="0.25">
      <c r="A2296" t="s">
        <v>313</v>
      </c>
      <c r="B2296" t="s">
        <v>383</v>
      </c>
      <c r="C2296">
        <v>54</v>
      </c>
      <c r="D2296">
        <v>476.85</v>
      </c>
      <c r="E2296" s="19">
        <v>45194</v>
      </c>
      <c r="F2296">
        <v>487.95</v>
      </c>
      <c r="G2296" s="19">
        <v>45272</v>
      </c>
      <c r="H2296">
        <v>-2.327776030198168</v>
      </c>
    </row>
    <row r="2297" spans="1:8" x14ac:dyDescent="0.25">
      <c r="A2297" t="s">
        <v>313</v>
      </c>
      <c r="B2297" t="s">
        <v>385</v>
      </c>
      <c r="C2297">
        <v>124</v>
      </c>
      <c r="D2297">
        <v>416.1</v>
      </c>
      <c r="E2297" s="19">
        <v>45007</v>
      </c>
      <c r="F2297">
        <v>469</v>
      </c>
      <c r="G2297" s="19">
        <v>45190</v>
      </c>
      <c r="H2297">
        <v>12.71329007450132</v>
      </c>
    </row>
    <row r="2298" spans="1:8" x14ac:dyDescent="0.25">
      <c r="A2298" t="s">
        <v>314</v>
      </c>
      <c r="B2298" t="s">
        <v>383</v>
      </c>
      <c r="C2298">
        <v>208</v>
      </c>
      <c r="D2298">
        <v>557</v>
      </c>
      <c r="E2298" s="19">
        <v>45353</v>
      </c>
      <c r="F2298">
        <v>425.7</v>
      </c>
      <c r="G2298" s="19">
        <v>45660</v>
      </c>
      <c r="H2298">
        <v>23.57271095152603</v>
      </c>
    </row>
    <row r="2299" spans="1:8" x14ac:dyDescent="0.25">
      <c r="A2299" t="s">
        <v>314</v>
      </c>
      <c r="B2299" t="s">
        <v>385</v>
      </c>
      <c r="C2299">
        <v>44</v>
      </c>
      <c r="D2299">
        <v>498.5</v>
      </c>
      <c r="E2299" s="19">
        <v>45289</v>
      </c>
      <c r="F2299">
        <v>526.1</v>
      </c>
      <c r="G2299" s="19">
        <v>45351</v>
      </c>
      <c r="H2299">
        <v>5.5366098294884702</v>
      </c>
    </row>
    <row r="2300" spans="1:8" x14ac:dyDescent="0.25">
      <c r="A2300" t="s">
        <v>314</v>
      </c>
      <c r="B2300" t="s">
        <v>383</v>
      </c>
      <c r="C2300">
        <v>19</v>
      </c>
      <c r="D2300">
        <v>464.3</v>
      </c>
      <c r="E2300" s="19">
        <v>45260</v>
      </c>
      <c r="F2300">
        <v>475.55</v>
      </c>
      <c r="G2300" s="19">
        <v>45287</v>
      </c>
      <c r="H2300">
        <v>-2.4230023691578721</v>
      </c>
    </row>
    <row r="2301" spans="1:8" x14ac:dyDescent="0.25">
      <c r="A2301" t="s">
        <v>314</v>
      </c>
      <c r="B2301" t="s">
        <v>385</v>
      </c>
      <c r="C2301">
        <v>10</v>
      </c>
      <c r="D2301">
        <v>485.7</v>
      </c>
      <c r="E2301" s="19">
        <v>45243</v>
      </c>
      <c r="F2301">
        <v>460.75</v>
      </c>
      <c r="G2301" s="19">
        <v>45258</v>
      </c>
      <c r="H2301">
        <v>-5.1369157916409289</v>
      </c>
    </row>
    <row r="2302" spans="1:8" x14ac:dyDescent="0.25">
      <c r="A2302" t="s">
        <v>314</v>
      </c>
      <c r="B2302" t="s">
        <v>383</v>
      </c>
      <c r="C2302">
        <v>31</v>
      </c>
      <c r="D2302">
        <v>465.25</v>
      </c>
      <c r="E2302" s="19">
        <v>45196</v>
      </c>
      <c r="F2302">
        <v>484</v>
      </c>
      <c r="G2302" s="19">
        <v>45240</v>
      </c>
      <c r="H2302">
        <v>-4.0300913487372378</v>
      </c>
    </row>
    <row r="2303" spans="1:8" x14ac:dyDescent="0.25">
      <c r="A2303" t="s">
        <v>315</v>
      </c>
      <c r="B2303" t="s">
        <v>383</v>
      </c>
      <c r="C2303">
        <v>15</v>
      </c>
      <c r="D2303">
        <v>525.75</v>
      </c>
      <c r="E2303" s="19">
        <v>45639</v>
      </c>
      <c r="F2303">
        <v>536.95000000000005</v>
      </c>
      <c r="G2303" s="19">
        <v>45660</v>
      </c>
      <c r="H2303">
        <v>-2.1302900618164609</v>
      </c>
    </row>
    <row r="2304" spans="1:8" x14ac:dyDescent="0.25">
      <c r="A2304" t="s">
        <v>315</v>
      </c>
      <c r="B2304" t="s">
        <v>385</v>
      </c>
      <c r="C2304">
        <v>3</v>
      </c>
      <c r="D2304">
        <v>545.04999999999995</v>
      </c>
      <c r="E2304" s="19">
        <v>45635</v>
      </c>
      <c r="F2304">
        <v>534.25</v>
      </c>
      <c r="G2304" s="19">
        <v>45637</v>
      </c>
      <c r="H2304">
        <v>-1.981469589945869</v>
      </c>
    </row>
    <row r="2305" spans="1:8" x14ac:dyDescent="0.25">
      <c r="A2305" t="s">
        <v>315</v>
      </c>
      <c r="B2305" t="s">
        <v>383</v>
      </c>
      <c r="C2305">
        <v>13</v>
      </c>
      <c r="D2305">
        <v>516.29999999999995</v>
      </c>
      <c r="E2305" s="19">
        <v>45614</v>
      </c>
      <c r="F2305">
        <v>557.29999999999995</v>
      </c>
      <c r="G2305" s="19">
        <v>45631</v>
      </c>
      <c r="H2305">
        <v>-7.9411195041642459</v>
      </c>
    </row>
    <row r="2306" spans="1:8" x14ac:dyDescent="0.25">
      <c r="A2306" t="s">
        <v>315</v>
      </c>
      <c r="B2306" t="s">
        <v>385</v>
      </c>
      <c r="C2306">
        <v>7</v>
      </c>
      <c r="D2306">
        <v>566.85</v>
      </c>
      <c r="E2306" s="19">
        <v>45601</v>
      </c>
      <c r="F2306">
        <v>510.75</v>
      </c>
      <c r="G2306" s="19">
        <v>45609</v>
      </c>
      <c r="H2306">
        <v>-9.896798094734061</v>
      </c>
    </row>
    <row r="2307" spans="1:8" x14ac:dyDescent="0.25">
      <c r="A2307" t="s">
        <v>315</v>
      </c>
      <c r="B2307" t="s">
        <v>383</v>
      </c>
      <c r="C2307">
        <v>6</v>
      </c>
      <c r="D2307">
        <v>494.5</v>
      </c>
      <c r="E2307" s="19">
        <v>45590</v>
      </c>
      <c r="F2307">
        <v>570.6</v>
      </c>
      <c r="G2307" s="19">
        <v>45597</v>
      </c>
      <c r="H2307">
        <v>-15.38928210313448</v>
      </c>
    </row>
    <row r="2308" spans="1:8" x14ac:dyDescent="0.25">
      <c r="A2308" t="s">
        <v>315</v>
      </c>
      <c r="B2308" t="s">
        <v>385</v>
      </c>
      <c r="C2308">
        <v>131</v>
      </c>
      <c r="D2308">
        <v>389.2</v>
      </c>
      <c r="E2308" s="19">
        <v>45398</v>
      </c>
      <c r="F2308">
        <v>517.65</v>
      </c>
      <c r="G2308" s="19">
        <v>45588</v>
      </c>
      <c r="H2308">
        <v>33.00359712230216</v>
      </c>
    </row>
    <row r="2309" spans="1:8" x14ac:dyDescent="0.25">
      <c r="A2309" t="s">
        <v>315</v>
      </c>
      <c r="B2309" t="s">
        <v>383</v>
      </c>
      <c r="C2309">
        <v>54</v>
      </c>
      <c r="D2309">
        <v>398.15</v>
      </c>
      <c r="E2309" s="19">
        <v>45315</v>
      </c>
      <c r="F2309">
        <v>403.15</v>
      </c>
      <c r="G2309" s="19">
        <v>45394</v>
      </c>
      <c r="H2309">
        <v>-1.255808112520407</v>
      </c>
    </row>
    <row r="2310" spans="1:8" x14ac:dyDescent="0.25">
      <c r="A2310" t="s">
        <v>315</v>
      </c>
      <c r="B2310" t="s">
        <v>385</v>
      </c>
      <c r="C2310">
        <v>29</v>
      </c>
      <c r="D2310">
        <v>402.5</v>
      </c>
      <c r="E2310" s="19">
        <v>45272</v>
      </c>
      <c r="F2310">
        <v>403</v>
      </c>
      <c r="G2310" s="19">
        <v>45311</v>
      </c>
      <c r="H2310">
        <v>0.12422360248447201</v>
      </c>
    </row>
    <row r="2311" spans="1:8" x14ac:dyDescent="0.25">
      <c r="A2311" t="s">
        <v>315</v>
      </c>
      <c r="B2311" t="s">
        <v>383</v>
      </c>
      <c r="C2311">
        <v>33</v>
      </c>
      <c r="D2311">
        <v>401.65</v>
      </c>
      <c r="E2311" s="19">
        <v>45222</v>
      </c>
      <c r="F2311">
        <v>417.3</v>
      </c>
      <c r="G2311" s="19">
        <v>45268</v>
      </c>
      <c r="H2311">
        <v>-3.896427237644724</v>
      </c>
    </row>
    <row r="2312" spans="1:8" x14ac:dyDescent="0.25">
      <c r="A2312" t="s">
        <v>315</v>
      </c>
      <c r="B2312" t="s">
        <v>385</v>
      </c>
      <c r="C2312">
        <v>33</v>
      </c>
      <c r="D2312">
        <v>438.95</v>
      </c>
      <c r="E2312" s="19">
        <v>45170</v>
      </c>
      <c r="F2312">
        <v>417.2</v>
      </c>
      <c r="G2312" s="19">
        <v>45218</v>
      </c>
      <c r="H2312">
        <v>-4.95500626495045</v>
      </c>
    </row>
    <row r="2313" spans="1:8" x14ac:dyDescent="0.25">
      <c r="A2313" t="s">
        <v>315</v>
      </c>
      <c r="B2313" t="s">
        <v>383</v>
      </c>
      <c r="C2313">
        <v>25</v>
      </c>
      <c r="D2313">
        <v>409.25</v>
      </c>
      <c r="E2313" s="19">
        <v>45133</v>
      </c>
      <c r="F2313">
        <v>440.8</v>
      </c>
      <c r="G2313" s="19">
        <v>45168</v>
      </c>
      <c r="H2313">
        <v>-7.7092241905925496</v>
      </c>
    </row>
    <row r="2314" spans="1:8" x14ac:dyDescent="0.25">
      <c r="A2314" t="s">
        <v>315</v>
      </c>
      <c r="B2314" t="s">
        <v>385</v>
      </c>
      <c r="C2314">
        <v>22</v>
      </c>
      <c r="D2314">
        <v>427.95</v>
      </c>
      <c r="E2314" s="19">
        <v>45099</v>
      </c>
      <c r="F2314">
        <v>414</v>
      </c>
      <c r="G2314" s="19">
        <v>45131</v>
      </c>
      <c r="H2314">
        <v>-3.259726603575182</v>
      </c>
    </row>
    <row r="2315" spans="1:8" x14ac:dyDescent="0.25">
      <c r="A2315" t="s">
        <v>315</v>
      </c>
      <c r="B2315" t="s">
        <v>383</v>
      </c>
      <c r="C2315">
        <v>98</v>
      </c>
      <c r="D2315">
        <v>459.8</v>
      </c>
      <c r="E2315" s="19">
        <v>44951</v>
      </c>
      <c r="F2315">
        <v>433.1</v>
      </c>
      <c r="G2315" s="19">
        <v>45097</v>
      </c>
      <c r="H2315">
        <v>5.806872553284034</v>
      </c>
    </row>
    <row r="2316" spans="1:8" x14ac:dyDescent="0.25">
      <c r="A2316" t="s">
        <v>316</v>
      </c>
      <c r="B2316" t="s">
        <v>385</v>
      </c>
      <c r="C2316">
        <v>5</v>
      </c>
      <c r="D2316">
        <v>1883.9</v>
      </c>
      <c r="E2316" s="19">
        <v>45656</v>
      </c>
      <c r="F2316">
        <v>1849.65</v>
      </c>
      <c r="G2316" s="19">
        <v>45660</v>
      </c>
      <c r="H2316">
        <v>-1.818037050798875</v>
      </c>
    </row>
    <row r="2317" spans="1:8" x14ac:dyDescent="0.25">
      <c r="A2317" t="s">
        <v>316</v>
      </c>
      <c r="B2317" t="s">
        <v>383</v>
      </c>
      <c r="C2317">
        <v>28</v>
      </c>
      <c r="D2317">
        <v>1768.2</v>
      </c>
      <c r="E2317" s="19">
        <v>45610</v>
      </c>
      <c r="F2317">
        <v>1841.35</v>
      </c>
      <c r="G2317" s="19">
        <v>45652</v>
      </c>
      <c r="H2317">
        <v>-4.1369754552652331</v>
      </c>
    </row>
    <row r="2318" spans="1:8" x14ac:dyDescent="0.25">
      <c r="A2318" t="s">
        <v>316</v>
      </c>
      <c r="B2318" t="s">
        <v>385</v>
      </c>
      <c r="C2318">
        <v>90</v>
      </c>
      <c r="D2318">
        <v>1568.4</v>
      </c>
      <c r="E2318" s="19">
        <v>45478</v>
      </c>
      <c r="F2318">
        <v>1800.85</v>
      </c>
      <c r="G2318" s="19">
        <v>45608</v>
      </c>
      <c r="H2318">
        <v>14.82083652129557</v>
      </c>
    </row>
    <row r="2319" spans="1:8" x14ac:dyDescent="0.25">
      <c r="A2319" t="s">
        <v>316</v>
      </c>
      <c r="B2319" t="s">
        <v>383</v>
      </c>
      <c r="C2319">
        <v>39</v>
      </c>
      <c r="D2319">
        <v>1494.65</v>
      </c>
      <c r="E2319" s="19">
        <v>45421</v>
      </c>
      <c r="F2319">
        <v>1533.95</v>
      </c>
      <c r="G2319" s="19">
        <v>45476</v>
      </c>
      <c r="H2319">
        <v>-2.6293781152778211</v>
      </c>
    </row>
    <row r="2320" spans="1:8" x14ac:dyDescent="0.25">
      <c r="A2320" t="s">
        <v>316</v>
      </c>
      <c r="B2320" t="s">
        <v>385</v>
      </c>
      <c r="C2320">
        <v>122</v>
      </c>
      <c r="D2320">
        <v>1176.7</v>
      </c>
      <c r="E2320" s="19">
        <v>45238</v>
      </c>
      <c r="F2320">
        <v>1515.35</v>
      </c>
      <c r="G2320" s="19">
        <v>45419</v>
      </c>
      <c r="H2320">
        <v>28.779637970595719</v>
      </c>
    </row>
    <row r="2321" spans="1:8" x14ac:dyDescent="0.25">
      <c r="A2321" t="s">
        <v>316</v>
      </c>
      <c r="B2321" t="s">
        <v>383</v>
      </c>
      <c r="C2321">
        <v>3</v>
      </c>
      <c r="D2321">
        <v>1132.8499999999999</v>
      </c>
      <c r="E2321" s="19">
        <v>45232</v>
      </c>
      <c r="F2321">
        <v>1150</v>
      </c>
      <c r="G2321" s="19">
        <v>45236</v>
      </c>
      <c r="H2321">
        <v>-1.5138809198040419</v>
      </c>
    </row>
    <row r="2322" spans="1:8" x14ac:dyDescent="0.25">
      <c r="A2322" t="s">
        <v>316</v>
      </c>
      <c r="B2322" t="s">
        <v>385</v>
      </c>
      <c r="C2322">
        <v>100</v>
      </c>
      <c r="D2322">
        <v>1014.6</v>
      </c>
      <c r="E2322" s="19">
        <v>45084</v>
      </c>
      <c r="F2322">
        <v>1088.5999999999999</v>
      </c>
      <c r="G2322" s="19">
        <v>45230</v>
      </c>
      <c r="H2322">
        <v>7.2935146855903694</v>
      </c>
    </row>
    <row r="2323" spans="1:8" x14ac:dyDescent="0.25">
      <c r="A2323" t="s">
        <v>316</v>
      </c>
      <c r="B2323" t="s">
        <v>383</v>
      </c>
      <c r="C2323">
        <v>24</v>
      </c>
      <c r="D2323">
        <v>963.6</v>
      </c>
      <c r="E2323" s="19">
        <v>45049</v>
      </c>
      <c r="F2323">
        <v>1008.75</v>
      </c>
      <c r="G2323" s="19">
        <v>45082</v>
      </c>
      <c r="H2323">
        <v>-4.6855541718555394</v>
      </c>
    </row>
    <row r="2324" spans="1:8" x14ac:dyDescent="0.25">
      <c r="A2324" t="s">
        <v>317</v>
      </c>
      <c r="B2324" t="s">
        <v>383</v>
      </c>
      <c r="C2324">
        <v>56</v>
      </c>
      <c r="D2324">
        <v>778.9</v>
      </c>
      <c r="E2324" s="19">
        <v>45580</v>
      </c>
      <c r="F2324">
        <v>687.4</v>
      </c>
      <c r="G2324" s="19">
        <v>45660</v>
      </c>
      <c r="H2324">
        <v>11.74733598664784</v>
      </c>
    </row>
    <row r="2325" spans="1:8" x14ac:dyDescent="0.25">
      <c r="A2325" t="s">
        <v>317</v>
      </c>
      <c r="B2325" t="s">
        <v>385</v>
      </c>
      <c r="C2325">
        <v>114</v>
      </c>
      <c r="D2325">
        <v>655.4</v>
      </c>
      <c r="E2325" s="19">
        <v>45412</v>
      </c>
      <c r="F2325">
        <v>783.85</v>
      </c>
      <c r="G2325" s="19">
        <v>45576</v>
      </c>
      <c r="H2325">
        <v>19.59871833994508</v>
      </c>
    </row>
    <row r="2326" spans="1:8" x14ac:dyDescent="0.25">
      <c r="A2326" t="s">
        <v>317</v>
      </c>
      <c r="B2326" t="s">
        <v>383</v>
      </c>
      <c r="C2326">
        <v>61</v>
      </c>
      <c r="D2326">
        <v>662.65</v>
      </c>
      <c r="E2326" s="19">
        <v>45320</v>
      </c>
      <c r="F2326">
        <v>664.45</v>
      </c>
      <c r="G2326" s="19">
        <v>45408</v>
      </c>
      <c r="H2326">
        <v>-0.27163661057874722</v>
      </c>
    </row>
    <row r="2327" spans="1:8" x14ac:dyDescent="0.25">
      <c r="A2327" t="s">
        <v>317</v>
      </c>
      <c r="B2327" t="s">
        <v>385</v>
      </c>
      <c r="C2327">
        <v>138</v>
      </c>
      <c r="D2327">
        <v>461.7</v>
      </c>
      <c r="E2327" s="19">
        <v>45114</v>
      </c>
      <c r="F2327">
        <v>643.95000000000005</v>
      </c>
      <c r="G2327" s="19">
        <v>45315</v>
      </c>
      <c r="H2327">
        <v>39.473684210526329</v>
      </c>
    </row>
    <row r="2328" spans="1:8" x14ac:dyDescent="0.25">
      <c r="A2328" t="s">
        <v>317</v>
      </c>
      <c r="B2328" t="s">
        <v>383</v>
      </c>
      <c r="C2328">
        <v>2</v>
      </c>
      <c r="D2328">
        <v>445.3</v>
      </c>
      <c r="E2328" s="19">
        <v>45111</v>
      </c>
      <c r="F2328">
        <v>443.35</v>
      </c>
      <c r="G2328" s="19">
        <v>45112</v>
      </c>
      <c r="H2328">
        <v>0.43790702896923173</v>
      </c>
    </row>
    <row r="2329" spans="1:8" x14ac:dyDescent="0.25">
      <c r="A2329" t="s">
        <v>317</v>
      </c>
      <c r="B2329" t="s">
        <v>385</v>
      </c>
      <c r="C2329">
        <v>31</v>
      </c>
      <c r="D2329">
        <v>426.45</v>
      </c>
      <c r="E2329" s="19">
        <v>45064</v>
      </c>
      <c r="F2329">
        <v>437.25</v>
      </c>
      <c r="G2329" s="19">
        <v>45107</v>
      </c>
      <c r="H2329">
        <v>2.532536053464653</v>
      </c>
    </row>
    <row r="2330" spans="1:8" x14ac:dyDescent="0.25">
      <c r="A2330" t="s">
        <v>317</v>
      </c>
      <c r="B2330" t="s">
        <v>383</v>
      </c>
      <c r="C2330">
        <v>119</v>
      </c>
      <c r="D2330">
        <v>486.8</v>
      </c>
      <c r="E2330" s="19">
        <v>44887</v>
      </c>
      <c r="F2330">
        <v>445.55</v>
      </c>
      <c r="G2330" s="19">
        <v>45062</v>
      </c>
      <c r="H2330">
        <v>8.4737058340180784</v>
      </c>
    </row>
    <row r="2331" spans="1:8" x14ac:dyDescent="0.25">
      <c r="A2331" t="s">
        <v>318</v>
      </c>
      <c r="B2331" t="s">
        <v>383</v>
      </c>
      <c r="C2331">
        <v>37</v>
      </c>
      <c r="D2331">
        <v>4278.2</v>
      </c>
      <c r="E2331" s="19">
        <v>45607</v>
      </c>
      <c r="F2331">
        <v>4687.2</v>
      </c>
      <c r="G2331" s="19">
        <v>45660</v>
      </c>
      <c r="H2331">
        <v>-9.5600953672105096</v>
      </c>
    </row>
    <row r="2332" spans="1:8" x14ac:dyDescent="0.25">
      <c r="A2332" t="s">
        <v>318</v>
      </c>
      <c r="B2332" t="s">
        <v>385</v>
      </c>
      <c r="C2332">
        <v>48</v>
      </c>
      <c r="D2332">
        <v>4968.2</v>
      </c>
      <c r="E2332" s="19">
        <v>45537</v>
      </c>
      <c r="F2332">
        <v>4727.55</v>
      </c>
      <c r="G2332" s="19">
        <v>45603</v>
      </c>
      <c r="H2332">
        <v>-4.843806610039846</v>
      </c>
    </row>
    <row r="2333" spans="1:8" x14ac:dyDescent="0.25">
      <c r="A2333" t="s">
        <v>318</v>
      </c>
      <c r="B2333" t="s">
        <v>383</v>
      </c>
      <c r="C2333">
        <v>30</v>
      </c>
      <c r="D2333">
        <v>4233.3999999999996</v>
      </c>
      <c r="E2333" s="19">
        <v>45491</v>
      </c>
      <c r="F2333">
        <v>4723.2</v>
      </c>
      <c r="G2333" s="19">
        <v>45533</v>
      </c>
      <c r="H2333">
        <v>-11.569896537062411</v>
      </c>
    </row>
    <row r="2334" spans="1:8" x14ac:dyDescent="0.25">
      <c r="A2334" t="s">
        <v>318</v>
      </c>
      <c r="B2334" t="s">
        <v>385</v>
      </c>
      <c r="C2334">
        <v>315</v>
      </c>
      <c r="D2334">
        <v>2362.5</v>
      </c>
      <c r="E2334" s="19">
        <v>45026</v>
      </c>
      <c r="F2334">
        <v>4250.1000000000004</v>
      </c>
      <c r="G2334" s="19">
        <v>45488</v>
      </c>
      <c r="H2334">
        <v>79.898412698412713</v>
      </c>
    </row>
    <row r="2335" spans="1:8" x14ac:dyDescent="0.25">
      <c r="A2335" t="s">
        <v>319</v>
      </c>
      <c r="B2335" t="s">
        <v>383</v>
      </c>
      <c r="C2335">
        <v>44</v>
      </c>
      <c r="D2335">
        <v>1345.1</v>
      </c>
      <c r="E2335" s="19">
        <v>45596</v>
      </c>
      <c r="F2335">
        <v>1071.55</v>
      </c>
      <c r="G2335" s="19">
        <v>45660</v>
      </c>
      <c r="H2335">
        <v>20.33677793472604</v>
      </c>
    </row>
    <row r="2336" spans="1:8" x14ac:dyDescent="0.25">
      <c r="A2336" t="s">
        <v>319</v>
      </c>
      <c r="B2336" t="s">
        <v>385</v>
      </c>
      <c r="C2336">
        <v>121</v>
      </c>
      <c r="D2336">
        <v>1149.7</v>
      </c>
      <c r="E2336" s="19">
        <v>45420</v>
      </c>
      <c r="F2336">
        <v>1329.45</v>
      </c>
      <c r="G2336" s="19">
        <v>45594</v>
      </c>
      <c r="H2336">
        <v>15.634513351309041</v>
      </c>
    </row>
    <row r="2337" spans="1:8" x14ac:dyDescent="0.25">
      <c r="A2337" t="s">
        <v>319</v>
      </c>
      <c r="B2337" t="s">
        <v>383</v>
      </c>
      <c r="C2337">
        <v>63</v>
      </c>
      <c r="D2337">
        <v>1229.8499999999999</v>
      </c>
      <c r="E2337" s="19">
        <v>45323</v>
      </c>
      <c r="F2337">
        <v>1150.25</v>
      </c>
      <c r="G2337" s="19">
        <v>45418</v>
      </c>
      <c r="H2337">
        <v>6.4723340244745229</v>
      </c>
    </row>
    <row r="2338" spans="1:8" x14ac:dyDescent="0.25">
      <c r="A2338" t="s">
        <v>319</v>
      </c>
      <c r="B2338" t="s">
        <v>385</v>
      </c>
      <c r="C2338">
        <v>12</v>
      </c>
      <c r="D2338">
        <v>1255.05</v>
      </c>
      <c r="E2338" s="19">
        <v>45303</v>
      </c>
      <c r="F2338">
        <v>1219.5999999999999</v>
      </c>
      <c r="G2338" s="19">
        <v>45321</v>
      </c>
      <c r="H2338">
        <v>-2.824588661806307</v>
      </c>
    </row>
    <row r="2339" spans="1:8" x14ac:dyDescent="0.25">
      <c r="A2339" t="s">
        <v>319</v>
      </c>
      <c r="B2339" t="s">
        <v>383</v>
      </c>
      <c r="C2339">
        <v>33</v>
      </c>
      <c r="D2339">
        <v>1239.5</v>
      </c>
      <c r="E2339" s="19">
        <v>45253</v>
      </c>
      <c r="F2339">
        <v>1262.45</v>
      </c>
      <c r="G2339" s="19">
        <v>45301</v>
      </c>
      <c r="H2339">
        <v>-1.8515530455828999</v>
      </c>
    </row>
    <row r="2340" spans="1:8" x14ac:dyDescent="0.25">
      <c r="A2340" t="s">
        <v>319</v>
      </c>
      <c r="B2340" t="s">
        <v>385</v>
      </c>
      <c r="C2340">
        <v>334</v>
      </c>
      <c r="D2340">
        <v>799.55</v>
      </c>
      <c r="E2340" s="19">
        <v>44760</v>
      </c>
      <c r="F2340">
        <v>1239.8</v>
      </c>
      <c r="G2340" s="19">
        <v>45251</v>
      </c>
      <c r="H2340">
        <v>55.062222500156352</v>
      </c>
    </row>
    <row r="2341" spans="1:8" x14ac:dyDescent="0.25">
      <c r="A2341" t="s">
        <v>320</v>
      </c>
      <c r="B2341" t="s">
        <v>383</v>
      </c>
      <c r="C2341">
        <v>0</v>
      </c>
      <c r="D2341">
        <v>2460.9</v>
      </c>
      <c r="E2341" s="19">
        <v>45012</v>
      </c>
      <c r="F2341">
        <v>4615.1499999999996</v>
      </c>
      <c r="G2341" s="19">
        <v>45660</v>
      </c>
      <c r="H2341">
        <v>-87.539111707099011</v>
      </c>
    </row>
    <row r="2342" spans="1:8" x14ac:dyDescent="0.25">
      <c r="A2342" t="s">
        <v>320</v>
      </c>
      <c r="B2342" t="s">
        <v>385</v>
      </c>
      <c r="C2342">
        <v>10</v>
      </c>
      <c r="D2342">
        <v>5028.55</v>
      </c>
      <c r="E2342" s="19">
        <v>45645</v>
      </c>
      <c r="F2342">
        <v>4701.95</v>
      </c>
      <c r="G2342" s="19">
        <v>45659</v>
      </c>
      <c r="H2342">
        <v>-6.4949140408268864</v>
      </c>
    </row>
    <row r="2343" spans="1:8" x14ac:dyDescent="0.25">
      <c r="A2343" t="s">
        <v>320</v>
      </c>
      <c r="B2343" t="s">
        <v>383</v>
      </c>
      <c r="C2343">
        <v>94</v>
      </c>
      <c r="D2343">
        <v>5163</v>
      </c>
      <c r="E2343" s="19">
        <v>45506</v>
      </c>
      <c r="F2343">
        <v>4969.5</v>
      </c>
      <c r="G2343" s="19">
        <v>45643</v>
      </c>
      <c r="H2343">
        <v>3.7478210342823939</v>
      </c>
    </row>
    <row r="2344" spans="1:8" x14ac:dyDescent="0.25">
      <c r="A2344" t="s">
        <v>320</v>
      </c>
      <c r="B2344" t="s">
        <v>385</v>
      </c>
      <c r="C2344">
        <v>78</v>
      </c>
      <c r="D2344">
        <v>4309.55</v>
      </c>
      <c r="E2344" s="19">
        <v>45390</v>
      </c>
      <c r="F2344">
        <v>5354.45</v>
      </c>
      <c r="G2344" s="19">
        <v>45504</v>
      </c>
      <c r="H2344">
        <v>24.24615099024259</v>
      </c>
    </row>
    <row r="2345" spans="1:8" x14ac:dyDescent="0.25">
      <c r="A2345" t="s">
        <v>320</v>
      </c>
      <c r="B2345" t="s">
        <v>383</v>
      </c>
      <c r="C2345">
        <v>55</v>
      </c>
      <c r="D2345">
        <v>4162.8999999999996</v>
      </c>
      <c r="E2345" s="19">
        <v>45307</v>
      </c>
      <c r="F2345">
        <v>4193.1499999999996</v>
      </c>
      <c r="G2345" s="19">
        <v>45386</v>
      </c>
      <c r="H2345">
        <v>-0.72665689783564347</v>
      </c>
    </row>
    <row r="2346" spans="1:8" x14ac:dyDescent="0.25">
      <c r="A2346" t="s">
        <v>320</v>
      </c>
      <c r="B2346" t="s">
        <v>385</v>
      </c>
      <c r="C2346">
        <v>28</v>
      </c>
      <c r="D2346">
        <v>4626.8</v>
      </c>
      <c r="E2346" s="19">
        <v>45265</v>
      </c>
      <c r="F2346">
        <v>4216.75</v>
      </c>
      <c r="G2346" s="19">
        <v>45303</v>
      </c>
      <c r="H2346">
        <v>-8.862496758018505</v>
      </c>
    </row>
    <row r="2347" spans="1:8" x14ac:dyDescent="0.25">
      <c r="A2347" t="s">
        <v>320</v>
      </c>
      <c r="B2347" t="s">
        <v>383</v>
      </c>
      <c r="C2347">
        <v>4</v>
      </c>
      <c r="D2347">
        <v>4080</v>
      </c>
      <c r="E2347" s="19">
        <v>45258</v>
      </c>
      <c r="F2347">
        <v>4435</v>
      </c>
      <c r="G2347" s="19">
        <v>45261</v>
      </c>
      <c r="H2347">
        <v>-8.7009803921568629</v>
      </c>
    </row>
    <row r="2348" spans="1:8" x14ac:dyDescent="0.25">
      <c r="A2348" t="s">
        <v>320</v>
      </c>
      <c r="B2348" t="s">
        <v>385</v>
      </c>
      <c r="C2348">
        <v>149</v>
      </c>
      <c r="D2348">
        <v>2685.95</v>
      </c>
      <c r="E2348" s="19">
        <v>45037</v>
      </c>
      <c r="F2348">
        <v>4111.05</v>
      </c>
      <c r="G2348" s="19">
        <v>45253</v>
      </c>
      <c r="H2348">
        <v>53.057577393473473</v>
      </c>
    </row>
    <row r="2349" spans="1:8" x14ac:dyDescent="0.25">
      <c r="A2349" t="s">
        <v>321</v>
      </c>
      <c r="B2349" t="s">
        <v>383</v>
      </c>
      <c r="C2349">
        <v>35</v>
      </c>
      <c r="D2349">
        <v>1425.9</v>
      </c>
      <c r="E2349" s="19">
        <v>45609</v>
      </c>
      <c r="F2349">
        <v>1344.7</v>
      </c>
      <c r="G2349" s="19">
        <v>45660</v>
      </c>
      <c r="H2349">
        <v>5.6946489936180686</v>
      </c>
    </row>
    <row r="2350" spans="1:8" x14ac:dyDescent="0.25">
      <c r="A2350" t="s">
        <v>321</v>
      </c>
      <c r="B2350" t="s">
        <v>385</v>
      </c>
      <c r="C2350">
        <v>148</v>
      </c>
      <c r="D2350">
        <v>977.7</v>
      </c>
      <c r="E2350" s="19">
        <v>45391</v>
      </c>
      <c r="F2350">
        <v>1488.65</v>
      </c>
      <c r="G2350" s="19">
        <v>45607</v>
      </c>
      <c r="H2350">
        <v>52.260407077835737</v>
      </c>
    </row>
    <row r="2351" spans="1:8" x14ac:dyDescent="0.25">
      <c r="A2351" t="s">
        <v>321</v>
      </c>
      <c r="B2351" t="s">
        <v>383</v>
      </c>
      <c r="C2351">
        <v>20</v>
      </c>
      <c r="D2351">
        <v>878.6</v>
      </c>
      <c r="E2351" s="19">
        <v>45357</v>
      </c>
      <c r="F2351">
        <v>952</v>
      </c>
      <c r="G2351" s="19">
        <v>45387</v>
      </c>
      <c r="H2351">
        <v>-8.3541998634190726</v>
      </c>
    </row>
    <row r="2352" spans="1:8" x14ac:dyDescent="0.25">
      <c r="A2352" t="s">
        <v>321</v>
      </c>
      <c r="B2352" t="s">
        <v>385</v>
      </c>
      <c r="C2352">
        <v>63</v>
      </c>
      <c r="D2352">
        <v>883</v>
      </c>
      <c r="E2352" s="19">
        <v>45266</v>
      </c>
      <c r="F2352">
        <v>911.2</v>
      </c>
      <c r="G2352" s="19">
        <v>45355</v>
      </c>
      <c r="H2352">
        <v>3.193657984144965</v>
      </c>
    </row>
    <row r="2353" spans="1:8" x14ac:dyDescent="0.25">
      <c r="A2353" t="s">
        <v>321</v>
      </c>
      <c r="B2353" t="s">
        <v>383</v>
      </c>
      <c r="C2353">
        <v>44</v>
      </c>
      <c r="D2353">
        <v>879.95</v>
      </c>
      <c r="E2353" s="19">
        <v>45198</v>
      </c>
      <c r="F2353">
        <v>878.1</v>
      </c>
      <c r="G2353" s="19">
        <v>45264</v>
      </c>
      <c r="H2353">
        <v>0.21023921813739671</v>
      </c>
    </row>
    <row r="2354" spans="1:8" x14ac:dyDescent="0.25">
      <c r="A2354" t="s">
        <v>321</v>
      </c>
      <c r="B2354" t="s">
        <v>385</v>
      </c>
      <c r="C2354">
        <v>13</v>
      </c>
      <c r="D2354">
        <v>909.5</v>
      </c>
      <c r="E2354" s="19">
        <v>45177</v>
      </c>
      <c r="F2354">
        <v>877.05</v>
      </c>
      <c r="G2354" s="19">
        <v>45196</v>
      </c>
      <c r="H2354">
        <v>-3.5678944474986301</v>
      </c>
    </row>
    <row r="2355" spans="1:8" x14ac:dyDescent="0.25">
      <c r="A2355" t="s">
        <v>321</v>
      </c>
      <c r="B2355" t="s">
        <v>383</v>
      </c>
      <c r="C2355">
        <v>102</v>
      </c>
      <c r="D2355">
        <v>1002.4</v>
      </c>
      <c r="E2355" s="19">
        <v>45028</v>
      </c>
      <c r="F2355">
        <v>899.1</v>
      </c>
      <c r="G2355" s="19">
        <v>45175</v>
      </c>
      <c r="H2355">
        <v>10.305267358339981</v>
      </c>
    </row>
    <row r="2356" spans="1:8" x14ac:dyDescent="0.25">
      <c r="A2356" t="s">
        <v>322</v>
      </c>
      <c r="B2356" t="s">
        <v>383</v>
      </c>
      <c r="C2356">
        <v>9</v>
      </c>
      <c r="D2356">
        <v>842.6</v>
      </c>
      <c r="E2356" s="19">
        <v>45649</v>
      </c>
      <c r="F2356">
        <v>856.85</v>
      </c>
      <c r="G2356" s="19">
        <v>45660</v>
      </c>
      <c r="H2356">
        <v>-1.6911939235699029</v>
      </c>
    </row>
    <row r="2357" spans="1:8" x14ac:dyDescent="0.25">
      <c r="A2357" t="s">
        <v>322</v>
      </c>
      <c r="B2357" t="s">
        <v>385</v>
      </c>
      <c r="C2357">
        <v>126</v>
      </c>
      <c r="D2357">
        <v>713.1</v>
      </c>
      <c r="E2357" s="19">
        <v>45463</v>
      </c>
      <c r="F2357">
        <v>849.95</v>
      </c>
      <c r="G2357" s="19">
        <v>45645</v>
      </c>
      <c r="H2357">
        <v>19.19085682232506</v>
      </c>
    </row>
    <row r="2358" spans="1:8" x14ac:dyDescent="0.25">
      <c r="A2358" t="s">
        <v>322</v>
      </c>
      <c r="B2358" t="s">
        <v>383</v>
      </c>
      <c r="C2358">
        <v>37</v>
      </c>
      <c r="D2358">
        <v>699.1</v>
      </c>
      <c r="E2358" s="19">
        <v>45407</v>
      </c>
      <c r="F2358">
        <v>707.6</v>
      </c>
      <c r="G2358" s="19">
        <v>45461</v>
      </c>
      <c r="H2358">
        <v>-1.215848948648262</v>
      </c>
    </row>
    <row r="2359" spans="1:8" x14ac:dyDescent="0.25">
      <c r="A2359" t="s">
        <v>322</v>
      </c>
      <c r="B2359" t="s">
        <v>385</v>
      </c>
      <c r="C2359">
        <v>7</v>
      </c>
      <c r="D2359">
        <v>749.05</v>
      </c>
      <c r="E2359" s="19">
        <v>45394</v>
      </c>
      <c r="F2359">
        <v>701.05</v>
      </c>
      <c r="G2359" s="19">
        <v>45405</v>
      </c>
      <c r="H2359">
        <v>-6.4081169481343041</v>
      </c>
    </row>
    <row r="2360" spans="1:8" x14ac:dyDescent="0.25">
      <c r="A2360" t="s">
        <v>322</v>
      </c>
      <c r="B2360" t="s">
        <v>383</v>
      </c>
      <c r="C2360">
        <v>23</v>
      </c>
      <c r="D2360">
        <v>692.9</v>
      </c>
      <c r="E2360" s="19">
        <v>45356</v>
      </c>
      <c r="F2360">
        <v>730.7</v>
      </c>
      <c r="G2360" s="19">
        <v>45391</v>
      </c>
      <c r="H2360">
        <v>-5.4553326598354843</v>
      </c>
    </row>
    <row r="2361" spans="1:8" x14ac:dyDescent="0.25">
      <c r="A2361" t="s">
        <v>322</v>
      </c>
      <c r="B2361" t="s">
        <v>385</v>
      </c>
      <c r="C2361">
        <v>19</v>
      </c>
      <c r="D2361">
        <v>752.3</v>
      </c>
      <c r="E2361" s="19">
        <v>45329</v>
      </c>
      <c r="F2361">
        <v>710.45</v>
      </c>
      <c r="G2361" s="19">
        <v>45353</v>
      </c>
      <c r="H2361">
        <v>-5.5629403163631412</v>
      </c>
    </row>
    <row r="2362" spans="1:8" x14ac:dyDescent="0.25">
      <c r="A2362" t="s">
        <v>322</v>
      </c>
      <c r="B2362" t="s">
        <v>383</v>
      </c>
      <c r="C2362">
        <v>76</v>
      </c>
      <c r="D2362">
        <v>777.7</v>
      </c>
      <c r="E2362" s="19">
        <v>45216</v>
      </c>
      <c r="F2362">
        <v>741.5</v>
      </c>
      <c r="G2362" s="19">
        <v>45327</v>
      </c>
      <c r="H2362">
        <v>4.65475118940466</v>
      </c>
    </row>
    <row r="2363" spans="1:8" x14ac:dyDescent="0.25">
      <c r="A2363" t="s">
        <v>322</v>
      </c>
      <c r="B2363" t="s">
        <v>385</v>
      </c>
      <c r="C2363">
        <v>131</v>
      </c>
      <c r="D2363">
        <v>594.95000000000005</v>
      </c>
      <c r="E2363" s="19">
        <v>45021</v>
      </c>
      <c r="F2363">
        <v>779.65</v>
      </c>
      <c r="G2363" s="19">
        <v>45212</v>
      </c>
      <c r="H2363">
        <v>31.0446255987898</v>
      </c>
    </row>
    <row r="2364" spans="1:8" x14ac:dyDescent="0.25">
      <c r="A2364" t="s">
        <v>323</v>
      </c>
      <c r="B2364" t="s">
        <v>385</v>
      </c>
      <c r="C2364">
        <v>37</v>
      </c>
      <c r="D2364">
        <v>334.7</v>
      </c>
      <c r="E2364" s="19">
        <v>45607</v>
      </c>
      <c r="F2364">
        <v>445.6</v>
      </c>
      <c r="G2364" s="19">
        <v>45660</v>
      </c>
      <c r="H2364">
        <v>33.134149985061264</v>
      </c>
    </row>
    <row r="2365" spans="1:8" x14ac:dyDescent="0.25">
      <c r="A2365" t="s">
        <v>323</v>
      </c>
      <c r="B2365" t="s">
        <v>383</v>
      </c>
      <c r="C2365">
        <v>109</v>
      </c>
      <c r="D2365">
        <v>305.35000000000002</v>
      </c>
      <c r="E2365" s="19">
        <v>45447</v>
      </c>
      <c r="F2365">
        <v>321.75</v>
      </c>
      <c r="G2365" s="19">
        <v>45603</v>
      </c>
      <c r="H2365">
        <v>-5.3708858686752823</v>
      </c>
    </row>
    <row r="2366" spans="1:8" x14ac:dyDescent="0.25">
      <c r="A2366" t="s">
        <v>323</v>
      </c>
      <c r="B2366" t="s">
        <v>385</v>
      </c>
      <c r="C2366">
        <v>102</v>
      </c>
      <c r="D2366">
        <v>243.05</v>
      </c>
      <c r="E2366" s="19">
        <v>45294</v>
      </c>
      <c r="F2366">
        <v>326.35000000000002</v>
      </c>
      <c r="G2366" s="19">
        <v>45443</v>
      </c>
      <c r="H2366">
        <v>34.272783377905789</v>
      </c>
    </row>
    <row r="2367" spans="1:8" x14ac:dyDescent="0.25">
      <c r="A2367" t="s">
        <v>323</v>
      </c>
      <c r="B2367" t="s">
        <v>383</v>
      </c>
      <c r="C2367">
        <v>89</v>
      </c>
      <c r="D2367">
        <v>234.5</v>
      </c>
      <c r="E2367" s="19">
        <v>45161</v>
      </c>
      <c r="F2367">
        <v>230.3</v>
      </c>
      <c r="G2367" s="19">
        <v>45292</v>
      </c>
      <c r="H2367">
        <v>1.7910447761193979</v>
      </c>
    </row>
    <row r="2368" spans="1:8" x14ac:dyDescent="0.25">
      <c r="A2368" t="s">
        <v>323</v>
      </c>
      <c r="B2368" t="s">
        <v>385</v>
      </c>
      <c r="C2368">
        <v>91</v>
      </c>
      <c r="D2368">
        <v>213.85</v>
      </c>
      <c r="E2368" s="19">
        <v>45027</v>
      </c>
      <c r="F2368">
        <v>230</v>
      </c>
      <c r="G2368" s="19">
        <v>45159</v>
      </c>
      <c r="H2368">
        <v>7.5520224456394693</v>
      </c>
    </row>
    <row r="2369" spans="1:8" x14ac:dyDescent="0.25">
      <c r="A2369" t="s">
        <v>324</v>
      </c>
      <c r="B2369" t="s">
        <v>383</v>
      </c>
      <c r="C2369">
        <v>9</v>
      </c>
      <c r="D2369">
        <v>396.25</v>
      </c>
      <c r="E2369" s="19">
        <v>45649</v>
      </c>
      <c r="F2369">
        <v>401.6</v>
      </c>
      <c r="G2369" s="19">
        <v>45660</v>
      </c>
      <c r="H2369">
        <v>-1.35015772870663</v>
      </c>
    </row>
    <row r="2370" spans="1:8" x14ac:dyDescent="0.25">
      <c r="A2370" t="s">
        <v>324</v>
      </c>
      <c r="B2370" t="s">
        <v>385</v>
      </c>
      <c r="C2370">
        <v>7</v>
      </c>
      <c r="D2370">
        <v>430.4</v>
      </c>
      <c r="E2370" s="19">
        <v>45637</v>
      </c>
      <c r="F2370">
        <v>410.45</v>
      </c>
      <c r="G2370" s="19">
        <v>45645</v>
      </c>
      <c r="H2370">
        <v>-4.6352230483271351</v>
      </c>
    </row>
    <row r="2371" spans="1:8" x14ac:dyDescent="0.25">
      <c r="A2371" t="s">
        <v>324</v>
      </c>
      <c r="B2371" t="s">
        <v>383</v>
      </c>
      <c r="C2371">
        <v>76</v>
      </c>
      <c r="D2371">
        <v>456.25</v>
      </c>
      <c r="E2371" s="19">
        <v>45525</v>
      </c>
      <c r="F2371">
        <v>453.05</v>
      </c>
      <c r="G2371" s="19">
        <v>45635</v>
      </c>
      <c r="H2371">
        <v>0.70136986301369608</v>
      </c>
    </row>
    <row r="2372" spans="1:8" x14ac:dyDescent="0.25">
      <c r="A2372" t="s">
        <v>324</v>
      </c>
      <c r="B2372" t="s">
        <v>385</v>
      </c>
      <c r="C2372">
        <v>43</v>
      </c>
      <c r="D2372">
        <v>525.35</v>
      </c>
      <c r="E2372" s="19">
        <v>45461</v>
      </c>
      <c r="F2372">
        <v>467.95</v>
      </c>
      <c r="G2372" s="19">
        <v>45523</v>
      </c>
      <c r="H2372">
        <v>-10.92604930046636</v>
      </c>
    </row>
    <row r="2373" spans="1:8" x14ac:dyDescent="0.25">
      <c r="A2373" t="s">
        <v>324</v>
      </c>
      <c r="B2373" t="s">
        <v>383</v>
      </c>
      <c r="C2373">
        <v>24</v>
      </c>
      <c r="D2373">
        <v>427.65</v>
      </c>
      <c r="E2373" s="19">
        <v>45425</v>
      </c>
      <c r="F2373">
        <v>485.6</v>
      </c>
      <c r="G2373" s="19">
        <v>45456</v>
      </c>
      <c r="H2373">
        <v>-13.55080088857712</v>
      </c>
    </row>
    <row r="2374" spans="1:8" x14ac:dyDescent="0.25">
      <c r="A2374" t="s">
        <v>324</v>
      </c>
      <c r="B2374" t="s">
        <v>385</v>
      </c>
      <c r="C2374">
        <v>6</v>
      </c>
      <c r="D2374">
        <v>454.25</v>
      </c>
      <c r="E2374" s="19">
        <v>45414</v>
      </c>
      <c r="F2374">
        <v>432.8</v>
      </c>
      <c r="G2374" s="19">
        <v>45421</v>
      </c>
      <c r="H2374">
        <v>-4.7220693450742957</v>
      </c>
    </row>
    <row r="2375" spans="1:8" x14ac:dyDescent="0.25">
      <c r="A2375" t="s">
        <v>324</v>
      </c>
      <c r="B2375" t="s">
        <v>383</v>
      </c>
      <c r="C2375">
        <v>59</v>
      </c>
      <c r="D2375">
        <v>493</v>
      </c>
      <c r="E2375" s="19">
        <v>45323</v>
      </c>
      <c r="F2375">
        <v>470</v>
      </c>
      <c r="G2375" s="19">
        <v>45411</v>
      </c>
      <c r="H2375">
        <v>4.6653144016227177</v>
      </c>
    </row>
    <row r="2376" spans="1:8" x14ac:dyDescent="0.25">
      <c r="A2376" t="s">
        <v>324</v>
      </c>
      <c r="B2376" t="s">
        <v>385</v>
      </c>
      <c r="C2376">
        <v>25</v>
      </c>
      <c r="D2376">
        <v>534.29999999999995</v>
      </c>
      <c r="E2376" s="19">
        <v>45286</v>
      </c>
      <c r="F2376">
        <v>495</v>
      </c>
      <c r="G2376" s="19">
        <v>45321</v>
      </c>
      <c r="H2376">
        <v>-7.3554183043234067</v>
      </c>
    </row>
    <row r="2377" spans="1:8" x14ac:dyDescent="0.25">
      <c r="A2377" t="s">
        <v>324</v>
      </c>
      <c r="B2377" t="s">
        <v>383</v>
      </c>
      <c r="C2377">
        <v>87</v>
      </c>
      <c r="D2377">
        <v>527.79999999999995</v>
      </c>
      <c r="E2377" s="19">
        <v>45155</v>
      </c>
      <c r="F2377">
        <v>553.35</v>
      </c>
      <c r="G2377" s="19">
        <v>45281</v>
      </c>
      <c r="H2377">
        <v>-4.8408488063660613</v>
      </c>
    </row>
    <row r="2378" spans="1:8" x14ac:dyDescent="0.25">
      <c r="A2378" t="s">
        <v>324</v>
      </c>
      <c r="B2378" t="s">
        <v>385</v>
      </c>
      <c r="C2378">
        <v>37</v>
      </c>
      <c r="D2378">
        <v>593</v>
      </c>
      <c r="E2378" s="19">
        <v>45099</v>
      </c>
      <c r="F2378">
        <v>568</v>
      </c>
      <c r="G2378" s="19">
        <v>45152</v>
      </c>
      <c r="H2378">
        <v>-4.2158516020236094</v>
      </c>
    </row>
    <row r="2379" spans="1:8" x14ac:dyDescent="0.25">
      <c r="A2379" t="s">
        <v>324</v>
      </c>
      <c r="B2379" t="s">
        <v>383</v>
      </c>
      <c r="C2379">
        <v>158</v>
      </c>
      <c r="D2379">
        <v>762.9</v>
      </c>
      <c r="E2379" s="19">
        <v>44866</v>
      </c>
      <c r="F2379">
        <v>581</v>
      </c>
      <c r="G2379" s="19">
        <v>45097</v>
      </c>
      <c r="H2379">
        <v>23.84322978109844</v>
      </c>
    </row>
    <row r="2380" spans="1:8" x14ac:dyDescent="0.25">
      <c r="A2380" t="s">
        <v>325</v>
      </c>
      <c r="B2380" t="s">
        <v>383</v>
      </c>
      <c r="C2380">
        <v>50</v>
      </c>
      <c r="D2380">
        <v>148.78</v>
      </c>
      <c r="E2380" s="19">
        <v>45588</v>
      </c>
      <c r="F2380">
        <v>138.36000000000001</v>
      </c>
      <c r="G2380" s="19">
        <v>45660</v>
      </c>
      <c r="H2380">
        <v>7.0036295200967782</v>
      </c>
    </row>
    <row r="2381" spans="1:8" x14ac:dyDescent="0.25">
      <c r="A2381" t="s">
        <v>325</v>
      </c>
      <c r="B2381" t="s">
        <v>385</v>
      </c>
      <c r="C2381">
        <v>14</v>
      </c>
      <c r="D2381">
        <v>167.03</v>
      </c>
      <c r="E2381" s="19">
        <v>45566</v>
      </c>
      <c r="F2381">
        <v>155.03</v>
      </c>
      <c r="G2381" s="19">
        <v>45586</v>
      </c>
      <c r="H2381">
        <v>-7.1843381428485902</v>
      </c>
    </row>
    <row r="2382" spans="1:8" x14ac:dyDescent="0.25">
      <c r="A2382" t="s">
        <v>325</v>
      </c>
      <c r="B2382" t="s">
        <v>383</v>
      </c>
      <c r="C2382">
        <v>49</v>
      </c>
      <c r="D2382">
        <v>160.32</v>
      </c>
      <c r="E2382" s="19">
        <v>45495</v>
      </c>
      <c r="F2382">
        <v>166.55</v>
      </c>
      <c r="G2382" s="19">
        <v>45562</v>
      </c>
      <c r="H2382">
        <v>-3.8859780439121869</v>
      </c>
    </row>
    <row r="2383" spans="1:8" x14ac:dyDescent="0.25">
      <c r="A2383" t="s">
        <v>325</v>
      </c>
      <c r="B2383" t="s">
        <v>385</v>
      </c>
      <c r="C2383">
        <v>160</v>
      </c>
      <c r="D2383">
        <v>125.95</v>
      </c>
      <c r="E2383" s="19">
        <v>45254</v>
      </c>
      <c r="F2383">
        <v>166.36</v>
      </c>
      <c r="G2383" s="19">
        <v>45491</v>
      </c>
      <c r="H2383">
        <v>32.084160381103622</v>
      </c>
    </row>
    <row r="2384" spans="1:8" x14ac:dyDescent="0.25">
      <c r="A2384" t="s">
        <v>325</v>
      </c>
      <c r="B2384" t="s">
        <v>383</v>
      </c>
      <c r="C2384">
        <v>17</v>
      </c>
      <c r="D2384">
        <v>118.75</v>
      </c>
      <c r="E2384" s="19">
        <v>45230</v>
      </c>
      <c r="F2384">
        <v>126.1</v>
      </c>
      <c r="G2384" s="19">
        <v>45252</v>
      </c>
      <c r="H2384">
        <v>-6.1894736842105216</v>
      </c>
    </row>
    <row r="2385" spans="1:8" x14ac:dyDescent="0.25">
      <c r="A2385" t="s">
        <v>325</v>
      </c>
      <c r="B2385" t="s">
        <v>385</v>
      </c>
      <c r="C2385">
        <v>97</v>
      </c>
      <c r="D2385">
        <v>111.15</v>
      </c>
      <c r="E2385" s="19">
        <v>45085</v>
      </c>
      <c r="F2385">
        <v>119.9</v>
      </c>
      <c r="G2385" s="19">
        <v>45226</v>
      </c>
      <c r="H2385">
        <v>7.8722447143499767</v>
      </c>
    </row>
    <row r="2386" spans="1:8" x14ac:dyDescent="0.25">
      <c r="A2386" t="s">
        <v>325</v>
      </c>
      <c r="B2386" t="s">
        <v>383</v>
      </c>
      <c r="C2386">
        <v>12</v>
      </c>
      <c r="D2386">
        <v>105</v>
      </c>
      <c r="E2386" s="19">
        <v>45068</v>
      </c>
      <c r="F2386">
        <v>109</v>
      </c>
      <c r="G2386" s="19">
        <v>45083</v>
      </c>
      <c r="H2386">
        <v>-3.8095238095238102</v>
      </c>
    </row>
    <row r="2387" spans="1:8" x14ac:dyDescent="0.25">
      <c r="A2387" t="s">
        <v>325</v>
      </c>
      <c r="B2387" t="s">
        <v>385</v>
      </c>
      <c r="C2387">
        <v>8</v>
      </c>
      <c r="D2387">
        <v>109.55</v>
      </c>
      <c r="E2387" s="19">
        <v>45055</v>
      </c>
      <c r="F2387">
        <v>105.2</v>
      </c>
      <c r="G2387" s="19">
        <v>45064</v>
      </c>
      <c r="H2387">
        <v>-3.9707895937927828</v>
      </c>
    </row>
    <row r="2388" spans="1:8" x14ac:dyDescent="0.25">
      <c r="A2388" t="s">
        <v>326</v>
      </c>
      <c r="B2388" t="s">
        <v>383</v>
      </c>
      <c r="C2388">
        <v>97</v>
      </c>
      <c r="D2388">
        <v>1045.9000000000001</v>
      </c>
      <c r="E2388" s="19">
        <v>45520</v>
      </c>
      <c r="F2388">
        <v>845.05</v>
      </c>
      <c r="G2388" s="19">
        <v>45660</v>
      </c>
      <c r="H2388">
        <v>19.203556745386759</v>
      </c>
    </row>
    <row r="2389" spans="1:8" x14ac:dyDescent="0.25">
      <c r="A2389" t="s">
        <v>326</v>
      </c>
      <c r="B2389" t="s">
        <v>385</v>
      </c>
      <c r="C2389">
        <v>41</v>
      </c>
      <c r="D2389">
        <v>1187.1500000000001</v>
      </c>
      <c r="E2389" s="19">
        <v>45457</v>
      </c>
      <c r="F2389">
        <v>1129.05</v>
      </c>
      <c r="G2389" s="19">
        <v>45517</v>
      </c>
      <c r="H2389">
        <v>-4.8940740428758058</v>
      </c>
    </row>
    <row r="2390" spans="1:8" x14ac:dyDescent="0.25">
      <c r="A2390" t="s">
        <v>326</v>
      </c>
      <c r="B2390" t="s">
        <v>383</v>
      </c>
      <c r="C2390">
        <v>113</v>
      </c>
      <c r="D2390">
        <v>1374.4</v>
      </c>
      <c r="E2390" s="19">
        <v>45289</v>
      </c>
      <c r="F2390">
        <v>1159.25</v>
      </c>
      <c r="G2390" s="19">
        <v>45455</v>
      </c>
      <c r="H2390">
        <v>15.6541036088475</v>
      </c>
    </row>
    <row r="2391" spans="1:8" x14ac:dyDescent="0.25">
      <c r="A2391" t="s">
        <v>326</v>
      </c>
      <c r="B2391" t="s">
        <v>385</v>
      </c>
      <c r="C2391">
        <v>15</v>
      </c>
      <c r="D2391">
        <v>1408.6</v>
      </c>
      <c r="E2391" s="19">
        <v>45266</v>
      </c>
      <c r="F2391">
        <v>1370</v>
      </c>
      <c r="G2391" s="19">
        <v>45287</v>
      </c>
      <c r="H2391">
        <v>-2.740309527190111</v>
      </c>
    </row>
    <row r="2392" spans="1:8" x14ac:dyDescent="0.25">
      <c r="A2392" t="s">
        <v>326</v>
      </c>
      <c r="B2392" t="s">
        <v>383</v>
      </c>
      <c r="C2392">
        <v>99</v>
      </c>
      <c r="D2392">
        <v>1521.7</v>
      </c>
      <c r="E2392" s="19">
        <v>45119</v>
      </c>
      <c r="F2392">
        <v>1411.6</v>
      </c>
      <c r="G2392" s="19">
        <v>45264</v>
      </c>
      <c r="H2392">
        <v>7.235328908457654</v>
      </c>
    </row>
    <row r="2393" spans="1:8" x14ac:dyDescent="0.25">
      <c r="A2393" t="s">
        <v>326</v>
      </c>
      <c r="B2393" t="s">
        <v>385</v>
      </c>
      <c r="C2393">
        <v>27</v>
      </c>
      <c r="D2393">
        <v>1620.55</v>
      </c>
      <c r="E2393" s="19">
        <v>45078</v>
      </c>
      <c r="F2393">
        <v>1515.3</v>
      </c>
      <c r="G2393" s="19">
        <v>45117</v>
      </c>
      <c r="H2393">
        <v>-6.4947085865909724</v>
      </c>
    </row>
    <row r="2394" spans="1:8" x14ac:dyDescent="0.25">
      <c r="A2394" t="s">
        <v>326</v>
      </c>
      <c r="B2394" t="s">
        <v>383</v>
      </c>
      <c r="C2394">
        <v>111</v>
      </c>
      <c r="D2394">
        <v>1856.6</v>
      </c>
      <c r="E2394" s="19">
        <v>44911</v>
      </c>
      <c r="F2394">
        <v>1595.6</v>
      </c>
      <c r="G2394" s="19">
        <v>45076</v>
      </c>
      <c r="H2394">
        <v>14.05795540234838</v>
      </c>
    </row>
    <row r="2395" spans="1:8" x14ac:dyDescent="0.25">
      <c r="A2395" t="s">
        <v>327</v>
      </c>
      <c r="B2395" t="s">
        <v>383</v>
      </c>
      <c r="C2395">
        <v>6</v>
      </c>
      <c r="D2395">
        <v>3159.15</v>
      </c>
      <c r="E2395" s="19">
        <v>45653</v>
      </c>
      <c r="F2395">
        <v>3203.15</v>
      </c>
      <c r="G2395" s="19">
        <v>45660</v>
      </c>
      <c r="H2395">
        <v>-1.392779703401231</v>
      </c>
    </row>
    <row r="2396" spans="1:8" x14ac:dyDescent="0.25">
      <c r="A2396" t="s">
        <v>327</v>
      </c>
      <c r="B2396" t="s">
        <v>385</v>
      </c>
      <c r="C2396">
        <v>10</v>
      </c>
      <c r="D2396">
        <v>3282.5</v>
      </c>
      <c r="E2396" s="19">
        <v>45637</v>
      </c>
      <c r="F2396">
        <v>3098.05</v>
      </c>
      <c r="G2396" s="19">
        <v>45650</v>
      </c>
      <c r="H2396">
        <v>-5.6191926884996137</v>
      </c>
    </row>
    <row r="2397" spans="1:8" x14ac:dyDescent="0.25">
      <c r="A2397" t="s">
        <v>327</v>
      </c>
      <c r="B2397" t="s">
        <v>383</v>
      </c>
      <c r="C2397">
        <v>25</v>
      </c>
      <c r="D2397">
        <v>3161.35</v>
      </c>
      <c r="E2397" s="19">
        <v>45597</v>
      </c>
      <c r="F2397">
        <v>3304.55</v>
      </c>
      <c r="G2397" s="19">
        <v>45635</v>
      </c>
      <c r="H2397">
        <v>-4.5297104085280111</v>
      </c>
    </row>
    <row r="2398" spans="1:8" x14ac:dyDescent="0.25">
      <c r="A2398" t="s">
        <v>327</v>
      </c>
      <c r="B2398" t="s">
        <v>385</v>
      </c>
      <c r="C2398">
        <v>92</v>
      </c>
      <c r="D2398">
        <v>2329.8000000000002</v>
      </c>
      <c r="E2398" s="19">
        <v>45463</v>
      </c>
      <c r="F2398">
        <v>3038.1</v>
      </c>
      <c r="G2398" s="19">
        <v>45595</v>
      </c>
      <c r="H2398">
        <v>30.40175122328095</v>
      </c>
    </row>
    <row r="2399" spans="1:8" x14ac:dyDescent="0.25">
      <c r="A2399" t="s">
        <v>327</v>
      </c>
      <c r="B2399" t="s">
        <v>383</v>
      </c>
      <c r="C2399">
        <v>43</v>
      </c>
      <c r="D2399">
        <v>2182.5500000000002</v>
      </c>
      <c r="E2399" s="19">
        <v>45398</v>
      </c>
      <c r="F2399">
        <v>2323.5</v>
      </c>
      <c r="G2399" s="19">
        <v>45461</v>
      </c>
      <c r="H2399">
        <v>-6.4580421983459626</v>
      </c>
    </row>
    <row r="2400" spans="1:8" x14ac:dyDescent="0.25">
      <c r="A2400" t="s">
        <v>327</v>
      </c>
      <c r="B2400" t="s">
        <v>385</v>
      </c>
      <c r="C2400">
        <v>42</v>
      </c>
      <c r="D2400">
        <v>2201.75</v>
      </c>
      <c r="E2400" s="19">
        <v>45334</v>
      </c>
      <c r="F2400">
        <v>2187.0500000000002</v>
      </c>
      <c r="G2400" s="19">
        <v>45394</v>
      </c>
      <c r="H2400">
        <v>-0.66765073237196859</v>
      </c>
    </row>
    <row r="2401" spans="1:8" x14ac:dyDescent="0.25">
      <c r="A2401" t="s">
        <v>328</v>
      </c>
      <c r="B2401" t="s">
        <v>385</v>
      </c>
      <c r="C2401">
        <v>40</v>
      </c>
      <c r="D2401">
        <v>438.35</v>
      </c>
      <c r="E2401" s="19">
        <v>45602</v>
      </c>
      <c r="F2401">
        <v>450.1</v>
      </c>
      <c r="G2401" s="19">
        <v>45660</v>
      </c>
      <c r="H2401">
        <v>2.6805064446218769</v>
      </c>
    </row>
    <row r="2402" spans="1:8" x14ac:dyDescent="0.25">
      <c r="A2402" t="s">
        <v>328</v>
      </c>
      <c r="B2402" t="s">
        <v>383</v>
      </c>
      <c r="C2402">
        <v>19</v>
      </c>
      <c r="D2402">
        <v>388.55</v>
      </c>
      <c r="E2402" s="19">
        <v>45574</v>
      </c>
      <c r="F2402">
        <v>414.35</v>
      </c>
      <c r="G2402" s="19">
        <v>45600</v>
      </c>
      <c r="H2402">
        <v>-6.6400720627975831</v>
      </c>
    </row>
    <row r="2403" spans="1:8" x14ac:dyDescent="0.25">
      <c r="A2403" t="s">
        <v>328</v>
      </c>
      <c r="B2403" t="s">
        <v>385</v>
      </c>
      <c r="C2403">
        <v>128</v>
      </c>
      <c r="D2403">
        <v>306.45</v>
      </c>
      <c r="E2403" s="19">
        <v>45384</v>
      </c>
      <c r="F2403">
        <v>384.15</v>
      </c>
      <c r="G2403" s="19">
        <v>45572</v>
      </c>
      <c r="H2403">
        <v>25.354870288790991</v>
      </c>
    </row>
    <row r="2404" spans="1:8" x14ac:dyDescent="0.25">
      <c r="A2404" t="s">
        <v>328</v>
      </c>
      <c r="B2404" t="s">
        <v>383</v>
      </c>
      <c r="C2404">
        <v>5</v>
      </c>
      <c r="D2404">
        <v>272.35000000000002</v>
      </c>
      <c r="E2404" s="19">
        <v>45372</v>
      </c>
      <c r="F2404">
        <v>296.7</v>
      </c>
      <c r="G2404" s="19">
        <v>45379</v>
      </c>
      <c r="H2404">
        <v>-8.9407013034697869</v>
      </c>
    </row>
    <row r="2405" spans="1:8" x14ac:dyDescent="0.25">
      <c r="A2405" t="s">
        <v>328</v>
      </c>
      <c r="B2405" t="s">
        <v>385</v>
      </c>
      <c r="C2405">
        <v>89</v>
      </c>
      <c r="D2405">
        <v>271.8</v>
      </c>
      <c r="E2405" s="19">
        <v>45242</v>
      </c>
      <c r="F2405">
        <v>267.14999999999998</v>
      </c>
      <c r="G2405" s="19">
        <v>45370</v>
      </c>
      <c r="H2405">
        <v>-1.7108167770419549</v>
      </c>
    </row>
    <row r="2406" spans="1:8" x14ac:dyDescent="0.25">
      <c r="A2406" t="s">
        <v>328</v>
      </c>
      <c r="B2406" t="s">
        <v>383</v>
      </c>
      <c r="C2406">
        <v>12</v>
      </c>
      <c r="D2406">
        <v>230.95</v>
      </c>
      <c r="E2406" s="19">
        <v>45224</v>
      </c>
      <c r="F2406">
        <v>272.25</v>
      </c>
      <c r="G2406" s="19">
        <v>45239</v>
      </c>
      <c r="H2406">
        <v>-17.882658584109119</v>
      </c>
    </row>
    <row r="2407" spans="1:8" x14ac:dyDescent="0.25">
      <c r="A2407" t="s">
        <v>328</v>
      </c>
      <c r="B2407" t="s">
        <v>385</v>
      </c>
      <c r="C2407">
        <v>215</v>
      </c>
      <c r="D2407">
        <v>124.35</v>
      </c>
      <c r="E2407" s="19">
        <v>44904</v>
      </c>
      <c r="F2407">
        <v>253.8</v>
      </c>
      <c r="G2407" s="19">
        <v>45219</v>
      </c>
      <c r="H2407">
        <v>104.1013268998794</v>
      </c>
    </row>
    <row r="2408" spans="1:8" x14ac:dyDescent="0.25">
      <c r="A2408" t="s">
        <v>329</v>
      </c>
      <c r="B2408" t="s">
        <v>385</v>
      </c>
      <c r="C2408">
        <v>4</v>
      </c>
      <c r="D2408">
        <v>1570.7</v>
      </c>
      <c r="E2408" s="19">
        <v>45657</v>
      </c>
      <c r="F2408">
        <v>1640.7</v>
      </c>
      <c r="G2408" s="19">
        <v>45660</v>
      </c>
      <c r="H2408">
        <v>4.4566117017890106</v>
      </c>
    </row>
    <row r="2409" spans="1:8" x14ac:dyDescent="0.25">
      <c r="A2409" t="s">
        <v>329</v>
      </c>
      <c r="B2409" t="s">
        <v>383</v>
      </c>
      <c r="C2409">
        <v>40</v>
      </c>
      <c r="D2409">
        <v>1499.9</v>
      </c>
      <c r="E2409" s="19">
        <v>45595</v>
      </c>
      <c r="F2409">
        <v>1559.75</v>
      </c>
      <c r="G2409" s="19">
        <v>45653</v>
      </c>
      <c r="H2409">
        <v>-3.99026601773451</v>
      </c>
    </row>
    <row r="2410" spans="1:8" x14ac:dyDescent="0.25">
      <c r="A2410" t="s">
        <v>329</v>
      </c>
      <c r="B2410" t="s">
        <v>385</v>
      </c>
      <c r="C2410">
        <v>140</v>
      </c>
      <c r="D2410">
        <v>837.8</v>
      </c>
      <c r="E2410" s="19">
        <v>45387</v>
      </c>
      <c r="F2410">
        <v>1457.6</v>
      </c>
      <c r="G2410" s="19">
        <v>45593</v>
      </c>
      <c r="H2410">
        <v>73.97947004058247</v>
      </c>
    </row>
    <row r="2411" spans="1:8" x14ac:dyDescent="0.25">
      <c r="A2411" t="s">
        <v>329</v>
      </c>
      <c r="B2411" t="s">
        <v>383</v>
      </c>
      <c r="C2411">
        <v>21</v>
      </c>
      <c r="D2411">
        <v>746.8</v>
      </c>
      <c r="E2411" s="19">
        <v>45353</v>
      </c>
      <c r="F2411">
        <v>821.4</v>
      </c>
      <c r="G2411" s="19">
        <v>45385</v>
      </c>
      <c r="H2411">
        <v>-9.989287627209432</v>
      </c>
    </row>
    <row r="2412" spans="1:8" x14ac:dyDescent="0.25">
      <c r="A2412" t="s">
        <v>329</v>
      </c>
      <c r="B2412" t="s">
        <v>385</v>
      </c>
      <c r="C2412">
        <v>218</v>
      </c>
      <c r="D2412">
        <v>347.8</v>
      </c>
      <c r="E2412" s="19">
        <v>45035</v>
      </c>
      <c r="F2412">
        <v>706.95</v>
      </c>
      <c r="G2412" s="19">
        <v>45351</v>
      </c>
      <c r="H2412">
        <v>103.26336975273151</v>
      </c>
    </row>
    <row r="2413" spans="1:8" x14ac:dyDescent="0.25">
      <c r="A2413" t="s">
        <v>330</v>
      </c>
      <c r="B2413" t="s">
        <v>383</v>
      </c>
      <c r="C2413">
        <v>3</v>
      </c>
      <c r="D2413">
        <v>2758.3</v>
      </c>
      <c r="E2413" s="19">
        <v>45658</v>
      </c>
      <c r="F2413">
        <v>2943</v>
      </c>
      <c r="G2413" s="19">
        <v>45660</v>
      </c>
      <c r="H2413">
        <v>-6.696153427835978</v>
      </c>
    </row>
    <row r="2414" spans="1:8" x14ac:dyDescent="0.25">
      <c r="A2414" t="s">
        <v>330</v>
      </c>
      <c r="B2414" t="s">
        <v>385</v>
      </c>
      <c r="C2414">
        <v>6</v>
      </c>
      <c r="D2414">
        <v>2923.95</v>
      </c>
      <c r="E2414" s="19">
        <v>45646</v>
      </c>
      <c r="F2414">
        <v>2688.95</v>
      </c>
      <c r="G2414" s="19">
        <v>45656</v>
      </c>
      <c r="H2414">
        <v>-8.0370731373655513</v>
      </c>
    </row>
    <row r="2415" spans="1:8" x14ac:dyDescent="0.25">
      <c r="A2415" t="s">
        <v>330</v>
      </c>
      <c r="B2415" t="s">
        <v>383</v>
      </c>
      <c r="C2415">
        <v>50</v>
      </c>
      <c r="D2415">
        <v>3066.85</v>
      </c>
      <c r="E2415" s="19">
        <v>45573</v>
      </c>
      <c r="F2415">
        <v>3012.8</v>
      </c>
      <c r="G2415" s="19">
        <v>45644</v>
      </c>
      <c r="H2415">
        <v>1.7623946394508929</v>
      </c>
    </row>
    <row r="2416" spans="1:8" x14ac:dyDescent="0.25">
      <c r="A2416" t="s">
        <v>330</v>
      </c>
      <c r="B2416" t="s">
        <v>385</v>
      </c>
      <c r="C2416">
        <v>119</v>
      </c>
      <c r="D2416">
        <v>2273.9</v>
      </c>
      <c r="E2416" s="19">
        <v>45397</v>
      </c>
      <c r="F2416">
        <v>3112.2</v>
      </c>
      <c r="G2416" s="19">
        <v>45569</v>
      </c>
      <c r="H2416">
        <v>36.866177052640822</v>
      </c>
    </row>
    <row r="2417" spans="1:8" x14ac:dyDescent="0.25">
      <c r="A2417" t="s">
        <v>330</v>
      </c>
      <c r="B2417" t="s">
        <v>383</v>
      </c>
      <c r="C2417">
        <v>52</v>
      </c>
      <c r="D2417">
        <v>2384.9</v>
      </c>
      <c r="E2417" s="19">
        <v>45316</v>
      </c>
      <c r="F2417">
        <v>2148.9</v>
      </c>
      <c r="G2417" s="19">
        <v>45392</v>
      </c>
      <c r="H2417">
        <v>9.8955931066292084</v>
      </c>
    </row>
    <row r="2418" spans="1:8" x14ac:dyDescent="0.25">
      <c r="A2418" t="s">
        <v>330</v>
      </c>
      <c r="B2418" t="s">
        <v>385</v>
      </c>
      <c r="C2418">
        <v>292</v>
      </c>
      <c r="D2418">
        <v>852.1</v>
      </c>
      <c r="E2418" s="19">
        <v>44887</v>
      </c>
      <c r="F2418">
        <v>2161.5500000000002</v>
      </c>
      <c r="G2418" s="19">
        <v>45314</v>
      </c>
      <c r="H2418">
        <v>153.67327778429771</v>
      </c>
    </row>
    <row r="2419" spans="1:8" x14ac:dyDescent="0.25">
      <c r="A2419" t="s">
        <v>331</v>
      </c>
      <c r="B2419" t="s">
        <v>383</v>
      </c>
      <c r="C2419">
        <v>26</v>
      </c>
      <c r="D2419">
        <v>1746.45</v>
      </c>
      <c r="E2419" s="19">
        <v>45624</v>
      </c>
      <c r="F2419">
        <v>1538.5</v>
      </c>
      <c r="G2419" s="19">
        <v>45660</v>
      </c>
      <c r="H2419">
        <v>11.907011365913711</v>
      </c>
    </row>
    <row r="2420" spans="1:8" x14ac:dyDescent="0.25">
      <c r="A2420" t="s">
        <v>331</v>
      </c>
      <c r="B2420" t="s">
        <v>385</v>
      </c>
      <c r="C2420">
        <v>261</v>
      </c>
      <c r="D2420">
        <v>1003.65</v>
      </c>
      <c r="E2420" s="19">
        <v>45238</v>
      </c>
      <c r="F2420">
        <v>1789.35</v>
      </c>
      <c r="G2420" s="19">
        <v>45622</v>
      </c>
      <c r="H2420">
        <v>78.284262442086387</v>
      </c>
    </row>
    <row r="2421" spans="1:8" x14ac:dyDescent="0.25">
      <c r="A2421" t="s">
        <v>331</v>
      </c>
      <c r="B2421" t="s">
        <v>383</v>
      </c>
      <c r="C2421">
        <v>30</v>
      </c>
      <c r="D2421">
        <v>927.15</v>
      </c>
      <c r="E2421" s="19">
        <v>45191</v>
      </c>
      <c r="F2421">
        <v>993</v>
      </c>
      <c r="G2421" s="19">
        <v>45236</v>
      </c>
      <c r="H2421">
        <v>-7.1024106131693916</v>
      </c>
    </row>
    <row r="2422" spans="1:8" x14ac:dyDescent="0.25">
      <c r="A2422" t="s">
        <v>331</v>
      </c>
      <c r="B2422" t="s">
        <v>385</v>
      </c>
      <c r="C2422">
        <v>314</v>
      </c>
      <c r="D2422">
        <v>463</v>
      </c>
      <c r="E2422" s="19">
        <v>44728</v>
      </c>
      <c r="F2422">
        <v>970</v>
      </c>
      <c r="G2422" s="19">
        <v>45189</v>
      </c>
      <c r="H2422">
        <v>109.5032397408207</v>
      </c>
    </row>
    <row r="2423" spans="1:8" x14ac:dyDescent="0.25">
      <c r="A2423" t="s">
        <v>332</v>
      </c>
      <c r="B2423" t="s">
        <v>383</v>
      </c>
      <c r="C2423">
        <v>5</v>
      </c>
      <c r="D2423">
        <v>256.2</v>
      </c>
      <c r="E2423" s="19">
        <v>45656</v>
      </c>
      <c r="F2423">
        <v>273.10000000000002</v>
      </c>
      <c r="G2423" s="19">
        <v>45660</v>
      </c>
      <c r="H2423">
        <v>-6.5964090554254629</v>
      </c>
    </row>
    <row r="2424" spans="1:8" x14ac:dyDescent="0.25">
      <c r="A2424" t="s">
        <v>332</v>
      </c>
      <c r="B2424" t="s">
        <v>385</v>
      </c>
      <c r="C2424">
        <v>117</v>
      </c>
      <c r="D2424">
        <v>240.28</v>
      </c>
      <c r="E2424" s="19">
        <v>45482</v>
      </c>
      <c r="F2424">
        <v>264.7</v>
      </c>
      <c r="G2424" s="19">
        <v>45652</v>
      </c>
      <c r="H2424">
        <v>10.16314299983352</v>
      </c>
    </row>
    <row r="2425" spans="1:8" x14ac:dyDescent="0.25">
      <c r="A2425" t="s">
        <v>332</v>
      </c>
      <c r="B2425" t="s">
        <v>383</v>
      </c>
      <c r="C2425">
        <v>2</v>
      </c>
      <c r="D2425">
        <v>205.71</v>
      </c>
      <c r="E2425" s="19">
        <v>45477</v>
      </c>
      <c r="F2425">
        <v>212.72</v>
      </c>
      <c r="G2425" s="19">
        <v>45478</v>
      </c>
      <c r="H2425">
        <v>-3.4077098828447769</v>
      </c>
    </row>
    <row r="2426" spans="1:8" x14ac:dyDescent="0.25">
      <c r="A2426" t="s">
        <v>332</v>
      </c>
      <c r="B2426" t="s">
        <v>385</v>
      </c>
      <c r="C2426">
        <v>8</v>
      </c>
      <c r="D2426">
        <v>219.64</v>
      </c>
      <c r="E2426" s="19">
        <v>45464</v>
      </c>
      <c r="F2426">
        <v>209.98</v>
      </c>
      <c r="G2426" s="19">
        <v>45475</v>
      </c>
      <c r="H2426">
        <v>-4.3981059916226544</v>
      </c>
    </row>
    <row r="2427" spans="1:8" x14ac:dyDescent="0.25">
      <c r="A2427" t="s">
        <v>332</v>
      </c>
      <c r="B2427" t="s">
        <v>383</v>
      </c>
      <c r="C2427">
        <v>44</v>
      </c>
      <c r="D2427">
        <v>208.5</v>
      </c>
      <c r="E2427" s="19">
        <v>45398</v>
      </c>
      <c r="F2427">
        <v>221.54</v>
      </c>
      <c r="G2427" s="19">
        <v>45462</v>
      </c>
      <c r="H2427">
        <v>-6.2541966426858471</v>
      </c>
    </row>
    <row r="2428" spans="1:8" x14ac:dyDescent="0.25">
      <c r="A2428" t="s">
        <v>332</v>
      </c>
      <c r="B2428" t="s">
        <v>385</v>
      </c>
      <c r="C2428">
        <v>89</v>
      </c>
      <c r="D2428">
        <v>179.9</v>
      </c>
      <c r="E2428" s="19">
        <v>45265</v>
      </c>
      <c r="F2428">
        <v>215.6</v>
      </c>
      <c r="G2428" s="19">
        <v>45394</v>
      </c>
      <c r="H2428">
        <v>19.84435797665369</v>
      </c>
    </row>
    <row r="2429" spans="1:8" x14ac:dyDescent="0.25">
      <c r="A2429" t="s">
        <v>332</v>
      </c>
      <c r="B2429" t="s">
        <v>383</v>
      </c>
      <c r="C2429">
        <v>24</v>
      </c>
      <c r="D2429">
        <v>152</v>
      </c>
      <c r="E2429" s="19">
        <v>45229</v>
      </c>
      <c r="F2429">
        <v>171.15</v>
      </c>
      <c r="G2429" s="19">
        <v>45261</v>
      </c>
      <c r="H2429">
        <v>-12.59868421052632</v>
      </c>
    </row>
    <row r="2430" spans="1:8" x14ac:dyDescent="0.25">
      <c r="A2430" t="s">
        <v>332</v>
      </c>
      <c r="B2430" t="s">
        <v>385</v>
      </c>
      <c r="C2430">
        <v>71</v>
      </c>
      <c r="D2430">
        <v>150.77000000000001</v>
      </c>
      <c r="E2430" s="19">
        <v>45121</v>
      </c>
      <c r="F2430">
        <v>151.5</v>
      </c>
      <c r="G2430" s="19">
        <v>45225</v>
      </c>
      <c r="H2430">
        <v>0.48418120315711999</v>
      </c>
    </row>
    <row r="2431" spans="1:8" x14ac:dyDescent="0.25">
      <c r="A2431" t="s">
        <v>332</v>
      </c>
      <c r="B2431" t="s">
        <v>383</v>
      </c>
      <c r="C2431">
        <v>12</v>
      </c>
      <c r="D2431">
        <v>138.63999999999999</v>
      </c>
      <c r="E2431" s="19">
        <v>45103</v>
      </c>
      <c r="F2431">
        <v>145.74</v>
      </c>
      <c r="G2431" s="19">
        <v>45119</v>
      </c>
      <c r="H2431">
        <v>-5.1211771494518343</v>
      </c>
    </row>
    <row r="2432" spans="1:8" x14ac:dyDescent="0.25">
      <c r="A2432" t="s">
        <v>332</v>
      </c>
      <c r="B2432" t="s">
        <v>385</v>
      </c>
      <c r="C2432">
        <v>49</v>
      </c>
      <c r="D2432">
        <v>133.34</v>
      </c>
      <c r="E2432" s="19">
        <v>45029</v>
      </c>
      <c r="F2432">
        <v>137.53</v>
      </c>
      <c r="G2432" s="19">
        <v>45099</v>
      </c>
      <c r="H2432">
        <v>3.1423428828558548</v>
      </c>
    </row>
    <row r="2433" spans="1:8" x14ac:dyDescent="0.25">
      <c r="A2433" t="s">
        <v>333</v>
      </c>
      <c r="B2433" t="s">
        <v>383</v>
      </c>
      <c r="C2433">
        <v>0</v>
      </c>
      <c r="D2433">
        <v>425.45</v>
      </c>
      <c r="E2433" s="19">
        <v>45012</v>
      </c>
      <c r="F2433">
        <v>914.55</v>
      </c>
      <c r="G2433" s="19">
        <v>45660</v>
      </c>
      <c r="H2433">
        <v>-114.96062992125979</v>
      </c>
    </row>
    <row r="2434" spans="1:8" x14ac:dyDescent="0.25">
      <c r="A2434" t="s">
        <v>333</v>
      </c>
      <c r="B2434" t="s">
        <v>385</v>
      </c>
      <c r="C2434">
        <v>138</v>
      </c>
      <c r="D2434">
        <v>653.15</v>
      </c>
      <c r="E2434" s="19">
        <v>45457</v>
      </c>
      <c r="F2434">
        <v>908.7</v>
      </c>
      <c r="G2434" s="19">
        <v>45659</v>
      </c>
      <c r="H2434">
        <v>39.125775089948718</v>
      </c>
    </row>
    <row r="2435" spans="1:8" x14ac:dyDescent="0.25">
      <c r="A2435" t="s">
        <v>333</v>
      </c>
      <c r="B2435" t="s">
        <v>383</v>
      </c>
      <c r="C2435">
        <v>10</v>
      </c>
      <c r="D2435">
        <v>620.4</v>
      </c>
      <c r="E2435" s="19">
        <v>45442</v>
      </c>
      <c r="F2435">
        <v>661.75</v>
      </c>
      <c r="G2435" s="19">
        <v>45455</v>
      </c>
      <c r="H2435">
        <v>-6.66505480335268</v>
      </c>
    </row>
    <row r="2436" spans="1:8" x14ac:dyDescent="0.25">
      <c r="A2436" t="s">
        <v>333</v>
      </c>
      <c r="B2436" t="s">
        <v>385</v>
      </c>
      <c r="C2436">
        <v>24</v>
      </c>
      <c r="D2436">
        <v>659.95</v>
      </c>
      <c r="E2436" s="19">
        <v>45406</v>
      </c>
      <c r="F2436">
        <v>621.20000000000005</v>
      </c>
      <c r="G2436" s="19">
        <v>45440</v>
      </c>
      <c r="H2436">
        <v>-5.8716569437078574</v>
      </c>
    </row>
    <row r="2437" spans="1:8" x14ac:dyDescent="0.25">
      <c r="A2437" t="s">
        <v>333</v>
      </c>
      <c r="B2437" t="s">
        <v>383</v>
      </c>
      <c r="C2437">
        <v>16</v>
      </c>
      <c r="D2437">
        <v>563.6</v>
      </c>
      <c r="E2437" s="19">
        <v>45378</v>
      </c>
      <c r="F2437">
        <v>644.29999999999995</v>
      </c>
      <c r="G2437" s="19">
        <v>45404</v>
      </c>
      <c r="H2437">
        <v>-14.31866572036904</v>
      </c>
    </row>
    <row r="2438" spans="1:8" x14ac:dyDescent="0.25">
      <c r="A2438" t="s">
        <v>333</v>
      </c>
      <c r="B2438" t="s">
        <v>385</v>
      </c>
      <c r="C2438">
        <v>17</v>
      </c>
      <c r="D2438">
        <v>690.5</v>
      </c>
      <c r="E2438" s="19">
        <v>45351</v>
      </c>
      <c r="F2438">
        <v>610.85</v>
      </c>
      <c r="G2438" s="19">
        <v>45373</v>
      </c>
      <c r="H2438">
        <v>-11.535119478638659</v>
      </c>
    </row>
    <row r="2439" spans="1:8" x14ac:dyDescent="0.25">
      <c r="A2439" t="s">
        <v>333</v>
      </c>
      <c r="B2439" t="s">
        <v>383</v>
      </c>
      <c r="C2439">
        <v>11</v>
      </c>
      <c r="D2439">
        <v>576.70000000000005</v>
      </c>
      <c r="E2439" s="19">
        <v>45335</v>
      </c>
      <c r="F2439">
        <v>641.20000000000005</v>
      </c>
      <c r="G2439" s="19">
        <v>45349</v>
      </c>
      <c r="H2439">
        <v>-11.18432460551413</v>
      </c>
    </row>
    <row r="2440" spans="1:8" x14ac:dyDescent="0.25">
      <c r="A2440" t="s">
        <v>333</v>
      </c>
      <c r="B2440" t="s">
        <v>385</v>
      </c>
      <c r="C2440">
        <v>50</v>
      </c>
      <c r="D2440">
        <v>559.95000000000005</v>
      </c>
      <c r="E2440" s="19">
        <v>45260</v>
      </c>
      <c r="F2440">
        <v>607.75</v>
      </c>
      <c r="G2440" s="19">
        <v>45331</v>
      </c>
      <c r="H2440">
        <v>8.5364764711134846</v>
      </c>
    </row>
    <row r="2441" spans="1:8" x14ac:dyDescent="0.25">
      <c r="A2441" t="s">
        <v>333</v>
      </c>
      <c r="B2441" t="s">
        <v>383</v>
      </c>
      <c r="C2441">
        <v>22</v>
      </c>
      <c r="D2441">
        <v>539.9</v>
      </c>
      <c r="E2441" s="19">
        <v>45226</v>
      </c>
      <c r="F2441">
        <v>571</v>
      </c>
      <c r="G2441" s="19">
        <v>45258</v>
      </c>
      <c r="H2441">
        <v>-5.760325986293763</v>
      </c>
    </row>
    <row r="2442" spans="1:8" x14ac:dyDescent="0.25">
      <c r="A2442" t="s">
        <v>333</v>
      </c>
      <c r="B2442" t="s">
        <v>385</v>
      </c>
      <c r="C2442">
        <v>94</v>
      </c>
      <c r="D2442">
        <v>469.75</v>
      </c>
      <c r="E2442" s="19">
        <v>45086</v>
      </c>
      <c r="F2442">
        <v>517.6</v>
      </c>
      <c r="G2442" s="19">
        <v>45224</v>
      </c>
      <c r="H2442">
        <v>10.186269292176689</v>
      </c>
    </row>
    <row r="2443" spans="1:8" x14ac:dyDescent="0.25">
      <c r="A2443" t="s">
        <v>333</v>
      </c>
      <c r="B2443" t="s">
        <v>383</v>
      </c>
      <c r="C2443">
        <v>153</v>
      </c>
      <c r="D2443">
        <v>641.45000000000005</v>
      </c>
      <c r="E2443" s="19">
        <v>44859</v>
      </c>
      <c r="F2443">
        <v>474.8</v>
      </c>
      <c r="G2443" s="19">
        <v>45084</v>
      </c>
      <c r="H2443">
        <v>25.980201106867259</v>
      </c>
    </row>
    <row r="2444" spans="1:8" x14ac:dyDescent="0.25">
      <c r="A2444" t="s">
        <v>334</v>
      </c>
      <c r="B2444" t="s">
        <v>385</v>
      </c>
      <c r="C2444">
        <v>89</v>
      </c>
      <c r="D2444">
        <v>262.5</v>
      </c>
      <c r="E2444" s="19">
        <v>45532</v>
      </c>
      <c r="F2444">
        <v>453.95</v>
      </c>
      <c r="G2444" s="19">
        <v>45660</v>
      </c>
      <c r="H2444">
        <v>72.933333333333323</v>
      </c>
    </row>
    <row r="2445" spans="1:8" x14ac:dyDescent="0.25">
      <c r="A2445" t="s">
        <v>334</v>
      </c>
      <c r="B2445" t="s">
        <v>383</v>
      </c>
      <c r="C2445">
        <v>10</v>
      </c>
      <c r="D2445">
        <v>240.9</v>
      </c>
      <c r="E2445" s="19">
        <v>45516</v>
      </c>
      <c r="F2445">
        <v>255.8</v>
      </c>
      <c r="G2445" s="19">
        <v>45530</v>
      </c>
      <c r="H2445">
        <v>-6.1851390618513928</v>
      </c>
    </row>
    <row r="2446" spans="1:8" x14ac:dyDescent="0.25">
      <c r="A2446" t="s">
        <v>334</v>
      </c>
      <c r="B2446" t="s">
        <v>385</v>
      </c>
      <c r="C2446">
        <v>7</v>
      </c>
      <c r="D2446">
        <v>251.7</v>
      </c>
      <c r="E2446" s="19">
        <v>45504</v>
      </c>
      <c r="F2446">
        <v>238.7</v>
      </c>
      <c r="G2446" s="19">
        <v>45512</v>
      </c>
      <c r="H2446">
        <v>-5.1648788239968217</v>
      </c>
    </row>
    <row r="2447" spans="1:8" x14ac:dyDescent="0.25">
      <c r="A2447" t="s">
        <v>334</v>
      </c>
      <c r="B2447" t="s">
        <v>383</v>
      </c>
      <c r="C2447">
        <v>5</v>
      </c>
      <c r="D2447">
        <v>235.5</v>
      </c>
      <c r="E2447" s="19">
        <v>45496</v>
      </c>
      <c r="F2447">
        <v>258.05</v>
      </c>
      <c r="G2447" s="19">
        <v>45502</v>
      </c>
      <c r="H2447">
        <v>-9.5753715498938483</v>
      </c>
    </row>
    <row r="2448" spans="1:8" x14ac:dyDescent="0.25">
      <c r="A2448" t="s">
        <v>334</v>
      </c>
      <c r="B2448" t="s">
        <v>385</v>
      </c>
      <c r="C2448">
        <v>60</v>
      </c>
      <c r="D2448">
        <v>235.75</v>
      </c>
      <c r="E2448" s="19">
        <v>45406</v>
      </c>
      <c r="F2448">
        <v>239.7</v>
      </c>
      <c r="G2448" s="19">
        <v>45492</v>
      </c>
      <c r="H2448">
        <v>1.67550371155885</v>
      </c>
    </row>
    <row r="2449" spans="1:8" x14ac:dyDescent="0.25">
      <c r="A2449" t="s">
        <v>334</v>
      </c>
      <c r="B2449" t="s">
        <v>383</v>
      </c>
      <c r="C2449">
        <v>56</v>
      </c>
      <c r="D2449">
        <v>237.2</v>
      </c>
      <c r="E2449" s="19">
        <v>45321</v>
      </c>
      <c r="F2449">
        <v>227.4</v>
      </c>
      <c r="G2449" s="19">
        <v>45404</v>
      </c>
      <c r="H2449">
        <v>4.1315345699831294</v>
      </c>
    </row>
    <row r="2450" spans="1:8" x14ac:dyDescent="0.25">
      <c r="A2450" t="s">
        <v>334</v>
      </c>
      <c r="B2450" t="s">
        <v>385</v>
      </c>
      <c r="C2450">
        <v>198</v>
      </c>
      <c r="D2450">
        <v>118.75</v>
      </c>
      <c r="E2450" s="19">
        <v>45028</v>
      </c>
      <c r="F2450">
        <v>238.75</v>
      </c>
      <c r="G2450" s="19">
        <v>45316</v>
      </c>
      <c r="H2450">
        <v>101.0526315789474</v>
      </c>
    </row>
    <row r="2451" spans="1:8" x14ac:dyDescent="0.25">
      <c r="A2451" t="s">
        <v>335</v>
      </c>
      <c r="B2451" t="s">
        <v>385</v>
      </c>
      <c r="C2451">
        <v>25</v>
      </c>
      <c r="D2451">
        <v>449.45</v>
      </c>
      <c r="E2451" s="19">
        <v>45625</v>
      </c>
      <c r="F2451">
        <v>489.95</v>
      </c>
      <c r="G2451" s="19">
        <v>45660</v>
      </c>
      <c r="H2451">
        <v>9.0110134608966508</v>
      </c>
    </row>
    <row r="2452" spans="1:8" x14ac:dyDescent="0.25">
      <c r="A2452" t="s">
        <v>335</v>
      </c>
      <c r="B2452" t="s">
        <v>383</v>
      </c>
      <c r="C2452">
        <v>5</v>
      </c>
      <c r="D2452">
        <v>371.5</v>
      </c>
      <c r="E2452" s="19">
        <v>45617</v>
      </c>
      <c r="F2452">
        <v>426.65</v>
      </c>
      <c r="G2452" s="19">
        <v>45623</v>
      </c>
      <c r="H2452">
        <v>-14.84522207267832</v>
      </c>
    </row>
    <row r="2453" spans="1:8" x14ac:dyDescent="0.25">
      <c r="A2453" t="s">
        <v>335</v>
      </c>
      <c r="B2453" t="s">
        <v>385</v>
      </c>
      <c r="C2453">
        <v>189</v>
      </c>
      <c r="D2453">
        <v>217.35</v>
      </c>
      <c r="E2453" s="19">
        <v>45336</v>
      </c>
      <c r="F2453">
        <v>375.4</v>
      </c>
      <c r="G2453" s="19">
        <v>45614</v>
      </c>
      <c r="H2453">
        <v>72.716816195077058</v>
      </c>
    </row>
    <row r="2454" spans="1:8" x14ac:dyDescent="0.25">
      <c r="A2454" t="s">
        <v>335</v>
      </c>
      <c r="B2454" t="s">
        <v>383</v>
      </c>
      <c r="C2454">
        <v>6</v>
      </c>
      <c r="D2454">
        <v>163.80000000000001</v>
      </c>
      <c r="E2454" s="19">
        <v>45327</v>
      </c>
      <c r="F2454">
        <v>173.65</v>
      </c>
      <c r="G2454" s="19">
        <v>45334</v>
      </c>
      <c r="H2454">
        <v>-6.0134310134310098</v>
      </c>
    </row>
    <row r="2455" spans="1:8" x14ac:dyDescent="0.25">
      <c r="A2455" t="s">
        <v>335</v>
      </c>
      <c r="B2455" t="s">
        <v>385</v>
      </c>
      <c r="C2455">
        <v>191</v>
      </c>
      <c r="D2455">
        <v>84.2</v>
      </c>
      <c r="E2455" s="19">
        <v>45044</v>
      </c>
      <c r="F2455">
        <v>173.25</v>
      </c>
      <c r="G2455" s="19">
        <v>45323</v>
      </c>
      <c r="H2455">
        <v>105.7600950118765</v>
      </c>
    </row>
    <row r="2456" spans="1:8" x14ac:dyDescent="0.25">
      <c r="A2456" t="s">
        <v>336</v>
      </c>
      <c r="B2456" t="s">
        <v>385</v>
      </c>
      <c r="C2456">
        <v>16</v>
      </c>
      <c r="D2456">
        <v>3327.85</v>
      </c>
      <c r="E2456" s="19">
        <v>45638</v>
      </c>
      <c r="F2456">
        <v>3402.85</v>
      </c>
      <c r="G2456" s="19">
        <v>45660</v>
      </c>
      <c r="H2456">
        <v>2.2537073485884278</v>
      </c>
    </row>
    <row r="2457" spans="1:8" x14ac:dyDescent="0.25">
      <c r="A2457" t="s">
        <v>336</v>
      </c>
      <c r="B2457" t="s">
        <v>383</v>
      </c>
      <c r="C2457">
        <v>26</v>
      </c>
      <c r="D2457">
        <v>3205.3</v>
      </c>
      <c r="E2457" s="19">
        <v>45597</v>
      </c>
      <c r="F2457">
        <v>3350</v>
      </c>
      <c r="G2457" s="19">
        <v>45636</v>
      </c>
      <c r="H2457">
        <v>-4.5143980282656786</v>
      </c>
    </row>
    <row r="2458" spans="1:8" x14ac:dyDescent="0.25">
      <c r="A2458" t="s">
        <v>336</v>
      </c>
      <c r="B2458" t="s">
        <v>385</v>
      </c>
      <c r="C2458">
        <v>251</v>
      </c>
      <c r="D2458">
        <v>1930.35</v>
      </c>
      <c r="E2458" s="19">
        <v>45229</v>
      </c>
      <c r="F2458">
        <v>3137.8</v>
      </c>
      <c r="G2458" s="19">
        <v>45595</v>
      </c>
      <c r="H2458">
        <v>62.550832750537488</v>
      </c>
    </row>
    <row r="2459" spans="1:8" x14ac:dyDescent="0.25">
      <c r="A2459" t="s">
        <v>336</v>
      </c>
      <c r="B2459" t="s">
        <v>383</v>
      </c>
      <c r="C2459">
        <v>31</v>
      </c>
      <c r="D2459">
        <v>1867.25</v>
      </c>
      <c r="E2459" s="19">
        <v>45180</v>
      </c>
      <c r="F2459">
        <v>1889.65</v>
      </c>
      <c r="G2459" s="19">
        <v>45225</v>
      </c>
      <c r="H2459">
        <v>-1.1996251171508949</v>
      </c>
    </row>
    <row r="2460" spans="1:8" x14ac:dyDescent="0.25">
      <c r="A2460" t="s">
        <v>336</v>
      </c>
      <c r="B2460" t="s">
        <v>385</v>
      </c>
      <c r="C2460">
        <v>106</v>
      </c>
      <c r="D2460">
        <v>1574.75</v>
      </c>
      <c r="E2460" s="19">
        <v>45022</v>
      </c>
      <c r="F2460">
        <v>1891.5</v>
      </c>
      <c r="G2460" s="19">
        <v>45176</v>
      </c>
      <c r="H2460">
        <v>20.1143038577552</v>
      </c>
    </row>
    <row r="2461" spans="1:8" x14ac:dyDescent="0.25">
      <c r="A2461" t="s">
        <v>337</v>
      </c>
      <c r="B2461" t="s">
        <v>383</v>
      </c>
      <c r="C2461">
        <v>36</v>
      </c>
      <c r="D2461">
        <v>1658.7</v>
      </c>
      <c r="E2461" s="19">
        <v>45608</v>
      </c>
      <c r="F2461">
        <v>1513.45</v>
      </c>
      <c r="G2461" s="19">
        <v>45660</v>
      </c>
      <c r="H2461">
        <v>8.7568577801893053</v>
      </c>
    </row>
    <row r="2462" spans="1:8" x14ac:dyDescent="0.25">
      <c r="A2462" t="s">
        <v>338</v>
      </c>
      <c r="B2462" t="s">
        <v>385</v>
      </c>
      <c r="C2462">
        <v>16</v>
      </c>
      <c r="D2462">
        <v>461.2</v>
      </c>
      <c r="E2462" s="19">
        <v>45638</v>
      </c>
      <c r="F2462">
        <v>447.4</v>
      </c>
      <c r="G2462" s="19">
        <v>45660</v>
      </c>
      <c r="H2462">
        <v>-2.9921942758022571</v>
      </c>
    </row>
    <row r="2463" spans="1:8" x14ac:dyDescent="0.25">
      <c r="A2463" t="s">
        <v>338</v>
      </c>
      <c r="B2463" t="s">
        <v>383</v>
      </c>
      <c r="C2463">
        <v>34</v>
      </c>
      <c r="D2463">
        <v>394.3</v>
      </c>
      <c r="E2463" s="19">
        <v>45587</v>
      </c>
      <c r="F2463">
        <v>474.9</v>
      </c>
      <c r="G2463" s="19">
        <v>45636</v>
      </c>
      <c r="H2463">
        <v>-20.441288359117411</v>
      </c>
    </row>
    <row r="2464" spans="1:8" x14ac:dyDescent="0.25">
      <c r="A2464" t="s">
        <v>338</v>
      </c>
      <c r="B2464" t="s">
        <v>385</v>
      </c>
      <c r="C2464">
        <v>87</v>
      </c>
      <c r="D2464">
        <v>394.3</v>
      </c>
      <c r="E2464" s="19">
        <v>45457</v>
      </c>
      <c r="F2464">
        <v>421.9</v>
      </c>
      <c r="G2464" s="19">
        <v>45583</v>
      </c>
      <c r="H2464">
        <v>6.9997463860004983</v>
      </c>
    </row>
    <row r="2465" spans="1:8" x14ac:dyDescent="0.25">
      <c r="A2465" t="s">
        <v>338</v>
      </c>
      <c r="B2465" t="s">
        <v>383</v>
      </c>
      <c r="C2465">
        <v>7</v>
      </c>
      <c r="D2465">
        <v>305.35000000000002</v>
      </c>
      <c r="E2465" s="19">
        <v>45447</v>
      </c>
      <c r="F2465">
        <v>372.15</v>
      </c>
      <c r="G2465" s="19">
        <v>45455</v>
      </c>
      <c r="H2465">
        <v>-21.87653512362861</v>
      </c>
    </row>
    <row r="2466" spans="1:8" x14ac:dyDescent="0.25">
      <c r="A2466" t="s">
        <v>338</v>
      </c>
      <c r="B2466" t="s">
        <v>385</v>
      </c>
      <c r="C2466">
        <v>27</v>
      </c>
      <c r="D2466">
        <v>356.25</v>
      </c>
      <c r="E2466" s="19">
        <v>45406</v>
      </c>
      <c r="F2466">
        <v>328.2</v>
      </c>
      <c r="G2466" s="19">
        <v>45443</v>
      </c>
      <c r="H2466">
        <v>-7.8736842105263189</v>
      </c>
    </row>
    <row r="2467" spans="1:8" x14ac:dyDescent="0.25">
      <c r="A2467" t="s">
        <v>338</v>
      </c>
      <c r="B2467" t="s">
        <v>383</v>
      </c>
      <c r="C2467">
        <v>88</v>
      </c>
      <c r="D2467">
        <v>346.35</v>
      </c>
      <c r="E2467" s="19">
        <v>45273</v>
      </c>
      <c r="F2467">
        <v>359.9</v>
      </c>
      <c r="G2467" s="19">
        <v>45404</v>
      </c>
      <c r="H2467">
        <v>-3.9122275155189712</v>
      </c>
    </row>
    <row r="2468" spans="1:8" x14ac:dyDescent="0.25">
      <c r="A2468" t="s">
        <v>338</v>
      </c>
      <c r="B2468" t="s">
        <v>385</v>
      </c>
      <c r="C2468">
        <v>127</v>
      </c>
      <c r="D2468">
        <v>293.10000000000002</v>
      </c>
      <c r="E2468" s="19">
        <v>45085</v>
      </c>
      <c r="F2468">
        <v>345.25</v>
      </c>
      <c r="G2468" s="19">
        <v>45271</v>
      </c>
      <c r="H2468">
        <v>17.792562265438409</v>
      </c>
    </row>
    <row r="2469" spans="1:8" x14ac:dyDescent="0.25">
      <c r="A2469" t="s">
        <v>338</v>
      </c>
      <c r="B2469" t="s">
        <v>383</v>
      </c>
      <c r="C2469">
        <v>16</v>
      </c>
      <c r="D2469">
        <v>262.05</v>
      </c>
      <c r="E2469" s="19">
        <v>45062</v>
      </c>
      <c r="F2469">
        <v>277.39999999999998</v>
      </c>
      <c r="G2469" s="19">
        <v>45083</v>
      </c>
      <c r="H2469">
        <v>-5.8576607517649171</v>
      </c>
    </row>
    <row r="2470" spans="1:8" x14ac:dyDescent="0.25">
      <c r="A2470" t="s">
        <v>339</v>
      </c>
      <c r="B2470" t="s">
        <v>383</v>
      </c>
      <c r="C2470">
        <v>68</v>
      </c>
      <c r="D2470">
        <v>879.45</v>
      </c>
      <c r="E2470" s="19">
        <v>45561</v>
      </c>
      <c r="F2470">
        <v>822.1</v>
      </c>
      <c r="G2470" s="19">
        <v>45660</v>
      </c>
      <c r="H2470">
        <v>6.5211211552674992</v>
      </c>
    </row>
    <row r="2471" spans="1:8" x14ac:dyDescent="0.25">
      <c r="A2471" t="s">
        <v>339</v>
      </c>
      <c r="B2471" t="s">
        <v>385</v>
      </c>
      <c r="C2471">
        <v>72</v>
      </c>
      <c r="D2471">
        <v>743.9</v>
      </c>
      <c r="E2471" s="19">
        <v>45455</v>
      </c>
      <c r="F2471">
        <v>879.25</v>
      </c>
      <c r="G2471" s="19">
        <v>45559</v>
      </c>
      <c r="H2471">
        <v>18.194649818523999</v>
      </c>
    </row>
    <row r="2472" spans="1:8" x14ac:dyDescent="0.25">
      <c r="A2472" t="s">
        <v>339</v>
      </c>
      <c r="B2472" t="s">
        <v>383</v>
      </c>
      <c r="C2472">
        <v>73</v>
      </c>
      <c r="D2472">
        <v>746</v>
      </c>
      <c r="E2472" s="19">
        <v>45344</v>
      </c>
      <c r="F2472">
        <v>737.55</v>
      </c>
      <c r="G2472" s="19">
        <v>45453</v>
      </c>
      <c r="H2472">
        <v>1.132707774798934</v>
      </c>
    </row>
    <row r="2473" spans="1:8" x14ac:dyDescent="0.25">
      <c r="A2473" t="s">
        <v>339</v>
      </c>
      <c r="B2473" t="s">
        <v>385</v>
      </c>
      <c r="C2473">
        <v>18</v>
      </c>
      <c r="D2473">
        <v>779.8</v>
      </c>
      <c r="E2473" s="19">
        <v>45316</v>
      </c>
      <c r="F2473">
        <v>757.5</v>
      </c>
      <c r="G2473" s="19">
        <v>45342</v>
      </c>
      <c r="H2473">
        <v>-2.8597076173377731</v>
      </c>
    </row>
    <row r="2474" spans="1:8" x14ac:dyDescent="0.25">
      <c r="A2474" t="s">
        <v>339</v>
      </c>
      <c r="B2474" t="s">
        <v>383</v>
      </c>
      <c r="C2474">
        <v>40</v>
      </c>
      <c r="D2474">
        <v>765</v>
      </c>
      <c r="E2474" s="19">
        <v>45258</v>
      </c>
      <c r="F2474">
        <v>766</v>
      </c>
      <c r="G2474" s="19">
        <v>45314</v>
      </c>
      <c r="H2474">
        <v>-0.13071895424836599</v>
      </c>
    </row>
    <row r="2475" spans="1:8" x14ac:dyDescent="0.25">
      <c r="A2475" t="s">
        <v>339</v>
      </c>
      <c r="B2475" t="s">
        <v>385</v>
      </c>
      <c r="C2475">
        <v>108</v>
      </c>
      <c r="D2475">
        <v>749</v>
      </c>
      <c r="E2475" s="19">
        <v>45097</v>
      </c>
      <c r="F2475">
        <v>769.65</v>
      </c>
      <c r="G2475" s="19">
        <v>45253</v>
      </c>
      <c r="H2475">
        <v>2.7570093457943901</v>
      </c>
    </row>
    <row r="2476" spans="1:8" x14ac:dyDescent="0.25">
      <c r="A2476" t="s">
        <v>339</v>
      </c>
      <c r="B2476" t="s">
        <v>383</v>
      </c>
      <c r="C2476">
        <v>152</v>
      </c>
      <c r="D2476">
        <v>901.5</v>
      </c>
      <c r="E2476" s="19">
        <v>44872</v>
      </c>
      <c r="F2476">
        <v>739</v>
      </c>
      <c r="G2476" s="19">
        <v>45093</v>
      </c>
      <c r="H2476">
        <v>18.0255130338325</v>
      </c>
    </row>
    <row r="2477" spans="1:8" x14ac:dyDescent="0.25">
      <c r="A2477" t="s">
        <v>340</v>
      </c>
      <c r="B2477" t="s">
        <v>383</v>
      </c>
      <c r="C2477">
        <v>36</v>
      </c>
      <c r="D2477">
        <v>3561.8</v>
      </c>
      <c r="E2477" s="19">
        <v>45608</v>
      </c>
      <c r="F2477">
        <v>3609.65</v>
      </c>
      <c r="G2477" s="19">
        <v>45660</v>
      </c>
      <c r="H2477">
        <v>-1.343421865348978</v>
      </c>
    </row>
    <row r="2478" spans="1:8" x14ac:dyDescent="0.25">
      <c r="A2478" t="s">
        <v>340</v>
      </c>
      <c r="B2478" t="s">
        <v>385</v>
      </c>
      <c r="C2478">
        <v>33</v>
      </c>
      <c r="D2478">
        <v>4242.1000000000004</v>
      </c>
      <c r="E2478" s="19">
        <v>45559</v>
      </c>
      <c r="F2478">
        <v>3890.55</v>
      </c>
      <c r="G2478" s="19">
        <v>45604</v>
      </c>
      <c r="H2478">
        <v>-8.2871690907805142</v>
      </c>
    </row>
    <row r="2479" spans="1:8" x14ac:dyDescent="0.25">
      <c r="A2479" t="s">
        <v>340</v>
      </c>
      <c r="B2479" t="s">
        <v>383</v>
      </c>
      <c r="C2479">
        <v>10</v>
      </c>
      <c r="D2479">
        <v>3896.85</v>
      </c>
      <c r="E2479" s="19">
        <v>45544</v>
      </c>
      <c r="F2479">
        <v>4291.95</v>
      </c>
      <c r="G2479" s="19">
        <v>45555</v>
      </c>
      <c r="H2479">
        <v>-10.138958389468421</v>
      </c>
    </row>
    <row r="2480" spans="1:8" x14ac:dyDescent="0.25">
      <c r="A2480" t="s">
        <v>340</v>
      </c>
      <c r="B2480" t="s">
        <v>385</v>
      </c>
      <c r="C2480">
        <v>6</v>
      </c>
      <c r="D2480">
        <v>4004.55</v>
      </c>
      <c r="E2480" s="19">
        <v>45533</v>
      </c>
      <c r="F2480">
        <v>4072.55</v>
      </c>
      <c r="G2480" s="19">
        <v>45540</v>
      </c>
      <c r="H2480">
        <v>1.6980684471413769</v>
      </c>
    </row>
    <row r="2481" spans="1:8" x14ac:dyDescent="0.25">
      <c r="A2481" t="s">
        <v>340</v>
      </c>
      <c r="B2481" t="s">
        <v>383</v>
      </c>
      <c r="C2481">
        <v>8</v>
      </c>
      <c r="D2481">
        <v>4011.25</v>
      </c>
      <c r="E2481" s="19">
        <v>45520</v>
      </c>
      <c r="F2481">
        <v>4158.6499999999996</v>
      </c>
      <c r="G2481" s="19">
        <v>45531</v>
      </c>
      <c r="H2481">
        <v>-3.6746650046743441</v>
      </c>
    </row>
    <row r="2482" spans="1:8" x14ac:dyDescent="0.25">
      <c r="A2482" t="s">
        <v>340</v>
      </c>
      <c r="B2482" t="s">
        <v>385</v>
      </c>
      <c r="C2482">
        <v>71</v>
      </c>
      <c r="D2482">
        <v>3819.45</v>
      </c>
      <c r="E2482" s="19">
        <v>45415</v>
      </c>
      <c r="F2482">
        <v>3973.95</v>
      </c>
      <c r="G2482" s="19">
        <v>45517</v>
      </c>
      <c r="H2482">
        <v>4.0450850253308728</v>
      </c>
    </row>
    <row r="2483" spans="1:8" x14ac:dyDescent="0.25">
      <c r="A2483" t="s">
        <v>340</v>
      </c>
      <c r="B2483" t="s">
        <v>383</v>
      </c>
      <c r="C2483">
        <v>13</v>
      </c>
      <c r="D2483">
        <v>3567.75</v>
      </c>
      <c r="E2483" s="19">
        <v>45392</v>
      </c>
      <c r="F2483">
        <v>3742.6</v>
      </c>
      <c r="G2483" s="19">
        <v>45412</v>
      </c>
      <c r="H2483">
        <v>-4.9008478733095062</v>
      </c>
    </row>
    <row r="2484" spans="1:8" x14ac:dyDescent="0.25">
      <c r="A2484" t="s">
        <v>340</v>
      </c>
      <c r="B2484" t="s">
        <v>385</v>
      </c>
      <c r="C2484">
        <v>7</v>
      </c>
      <c r="D2484">
        <v>3736.6</v>
      </c>
      <c r="E2484" s="19">
        <v>45379</v>
      </c>
      <c r="F2484">
        <v>3549.75</v>
      </c>
      <c r="G2484" s="19">
        <v>45390</v>
      </c>
      <c r="H2484">
        <v>-5.0005352459455086</v>
      </c>
    </row>
    <row r="2485" spans="1:8" x14ac:dyDescent="0.25">
      <c r="A2485" t="s">
        <v>340</v>
      </c>
      <c r="B2485" t="s">
        <v>383</v>
      </c>
      <c r="C2485">
        <v>19</v>
      </c>
      <c r="D2485">
        <v>3533.5</v>
      </c>
      <c r="E2485" s="19">
        <v>45350</v>
      </c>
      <c r="F2485">
        <v>3742.45</v>
      </c>
      <c r="G2485" s="19">
        <v>45377</v>
      </c>
      <c r="H2485">
        <v>-5.9134003113060656</v>
      </c>
    </row>
    <row r="2486" spans="1:8" x14ac:dyDescent="0.25">
      <c r="A2486" t="s">
        <v>340</v>
      </c>
      <c r="B2486" t="s">
        <v>385</v>
      </c>
      <c r="C2486">
        <v>78</v>
      </c>
      <c r="D2486">
        <v>3141.15</v>
      </c>
      <c r="E2486" s="19">
        <v>45236</v>
      </c>
      <c r="F2486">
        <v>3571.7</v>
      </c>
      <c r="G2486" s="19">
        <v>45348</v>
      </c>
      <c r="H2486">
        <v>13.70676344650844</v>
      </c>
    </row>
    <row r="2487" spans="1:8" x14ac:dyDescent="0.25">
      <c r="A2487" t="s">
        <v>340</v>
      </c>
      <c r="B2487" t="s">
        <v>383</v>
      </c>
      <c r="C2487">
        <v>16</v>
      </c>
      <c r="D2487">
        <v>2926.95</v>
      </c>
      <c r="E2487" s="19">
        <v>45210</v>
      </c>
      <c r="F2487">
        <v>3138.2</v>
      </c>
      <c r="G2487" s="19">
        <v>45232</v>
      </c>
      <c r="H2487">
        <v>-7.2174106151454591</v>
      </c>
    </row>
    <row r="2488" spans="1:8" x14ac:dyDescent="0.25">
      <c r="A2488" t="s">
        <v>340</v>
      </c>
      <c r="B2488" t="s">
        <v>385</v>
      </c>
      <c r="C2488">
        <v>20</v>
      </c>
      <c r="D2488">
        <v>3313</v>
      </c>
      <c r="E2488" s="19">
        <v>45177</v>
      </c>
      <c r="F2488">
        <v>2932</v>
      </c>
      <c r="G2488" s="19">
        <v>45208</v>
      </c>
      <c r="H2488">
        <v>-11.500150920615759</v>
      </c>
    </row>
    <row r="2489" spans="1:8" x14ac:dyDescent="0.25">
      <c r="A2489" t="s">
        <v>340</v>
      </c>
      <c r="B2489" t="s">
        <v>383</v>
      </c>
      <c r="C2489">
        <v>15</v>
      </c>
      <c r="D2489">
        <v>2763.9</v>
      </c>
      <c r="E2489" s="19">
        <v>45155</v>
      </c>
      <c r="F2489">
        <v>3146.3</v>
      </c>
      <c r="G2489" s="19">
        <v>45175</v>
      </c>
      <c r="H2489">
        <v>-13.83552226925721</v>
      </c>
    </row>
    <row r="2490" spans="1:8" x14ac:dyDescent="0.25">
      <c r="A2490" t="s">
        <v>340</v>
      </c>
      <c r="B2490" t="s">
        <v>385</v>
      </c>
      <c r="C2490">
        <v>67</v>
      </c>
      <c r="D2490">
        <v>2767.35</v>
      </c>
      <c r="E2490" s="19">
        <v>45057</v>
      </c>
      <c r="F2490">
        <v>2862</v>
      </c>
      <c r="G2490" s="19">
        <v>45152</v>
      </c>
      <c r="H2490">
        <v>3.4202395793809992</v>
      </c>
    </row>
    <row r="2491" spans="1:8" x14ac:dyDescent="0.25">
      <c r="A2491" t="s">
        <v>341</v>
      </c>
      <c r="B2491" t="s">
        <v>385</v>
      </c>
      <c r="C2491">
        <v>21</v>
      </c>
      <c r="D2491">
        <v>11932.8</v>
      </c>
      <c r="E2491" s="19">
        <v>45631</v>
      </c>
      <c r="F2491">
        <v>11786</v>
      </c>
      <c r="G2491" s="19">
        <v>45660</v>
      </c>
      <c r="H2491">
        <v>-1.2302225797800961</v>
      </c>
    </row>
    <row r="2492" spans="1:8" x14ac:dyDescent="0.25">
      <c r="A2492" t="s">
        <v>341</v>
      </c>
      <c r="B2492" t="s">
        <v>383</v>
      </c>
      <c r="C2492">
        <v>31</v>
      </c>
      <c r="D2492">
        <v>11069.3</v>
      </c>
      <c r="E2492" s="19">
        <v>45583</v>
      </c>
      <c r="F2492">
        <v>11852.35</v>
      </c>
      <c r="G2492" s="19">
        <v>45629</v>
      </c>
      <c r="H2492">
        <v>-7.0740697243728254</v>
      </c>
    </row>
    <row r="2493" spans="1:8" x14ac:dyDescent="0.25">
      <c r="A2493" t="s">
        <v>341</v>
      </c>
      <c r="B2493" t="s">
        <v>385</v>
      </c>
      <c r="C2493">
        <v>101</v>
      </c>
      <c r="D2493">
        <v>10170.549999999999</v>
      </c>
      <c r="E2493" s="19">
        <v>45435</v>
      </c>
      <c r="F2493">
        <v>11322.3</v>
      </c>
      <c r="G2493" s="19">
        <v>45581</v>
      </c>
      <c r="H2493">
        <v>11.324362989218869</v>
      </c>
    </row>
    <row r="2494" spans="1:8" x14ac:dyDescent="0.25">
      <c r="A2494" t="s">
        <v>341</v>
      </c>
      <c r="B2494" t="s">
        <v>383</v>
      </c>
      <c r="C2494">
        <v>44</v>
      </c>
      <c r="D2494">
        <v>9696.9500000000007</v>
      </c>
      <c r="E2494" s="19">
        <v>45365</v>
      </c>
      <c r="F2494">
        <v>9789.4</v>
      </c>
      <c r="G2494" s="19">
        <v>45433</v>
      </c>
      <c r="H2494">
        <v>-0.95339256157862939</v>
      </c>
    </row>
    <row r="2495" spans="1:8" x14ac:dyDescent="0.25">
      <c r="A2495" t="s">
        <v>341</v>
      </c>
      <c r="B2495" t="s">
        <v>385</v>
      </c>
      <c r="C2495">
        <v>99</v>
      </c>
      <c r="D2495">
        <v>8461.0499999999993</v>
      </c>
      <c r="E2495" s="19">
        <v>45219</v>
      </c>
      <c r="F2495">
        <v>9615.5</v>
      </c>
      <c r="G2495" s="19">
        <v>45363</v>
      </c>
      <c r="H2495">
        <v>13.64428764751421</v>
      </c>
    </row>
    <row r="2496" spans="1:8" x14ac:dyDescent="0.25">
      <c r="A2496" t="s">
        <v>341</v>
      </c>
      <c r="B2496" t="s">
        <v>383</v>
      </c>
      <c r="C2496">
        <v>7</v>
      </c>
      <c r="D2496">
        <v>8158.3</v>
      </c>
      <c r="E2496" s="19">
        <v>45209</v>
      </c>
      <c r="F2496">
        <v>8278.2999999999993</v>
      </c>
      <c r="G2496" s="19">
        <v>45217</v>
      </c>
      <c r="H2496">
        <v>-1.470894671684041</v>
      </c>
    </row>
    <row r="2497" spans="1:8" x14ac:dyDescent="0.25">
      <c r="A2497" t="s">
        <v>341</v>
      </c>
      <c r="B2497" t="s">
        <v>385</v>
      </c>
      <c r="C2497">
        <v>232</v>
      </c>
      <c r="D2497">
        <v>6820.9</v>
      </c>
      <c r="E2497" s="19">
        <v>44866</v>
      </c>
      <c r="F2497">
        <v>8195.4500000000007</v>
      </c>
      <c r="G2497" s="19">
        <v>45205</v>
      </c>
      <c r="H2497">
        <v>20.15203272295447</v>
      </c>
    </row>
    <row r="2498" spans="1:8" x14ac:dyDescent="0.25">
      <c r="A2498" t="s">
        <v>342</v>
      </c>
      <c r="B2498" t="s">
        <v>383</v>
      </c>
      <c r="C2498">
        <v>201</v>
      </c>
      <c r="D2498">
        <v>510.9</v>
      </c>
      <c r="E2498" s="19">
        <v>45364</v>
      </c>
      <c r="F2498">
        <v>418</v>
      </c>
      <c r="G2498" s="19">
        <v>45660</v>
      </c>
      <c r="H2498">
        <v>18.18359757291055</v>
      </c>
    </row>
    <row r="2499" spans="1:8" x14ac:dyDescent="0.25">
      <c r="A2499" t="s">
        <v>342</v>
      </c>
      <c r="B2499" t="s">
        <v>385</v>
      </c>
      <c r="C2499">
        <v>6</v>
      </c>
      <c r="D2499">
        <v>580.70000000000005</v>
      </c>
      <c r="E2499" s="19">
        <v>45353</v>
      </c>
      <c r="F2499">
        <v>560.35</v>
      </c>
      <c r="G2499" s="19">
        <v>45362</v>
      </c>
      <c r="H2499">
        <v>-3.5043912519373208</v>
      </c>
    </row>
    <row r="2500" spans="1:8" x14ac:dyDescent="0.25">
      <c r="A2500" t="s">
        <v>342</v>
      </c>
      <c r="B2500" t="s">
        <v>383</v>
      </c>
      <c r="C2500">
        <v>12</v>
      </c>
      <c r="D2500">
        <v>547.45000000000005</v>
      </c>
      <c r="E2500" s="19">
        <v>45336</v>
      </c>
      <c r="F2500">
        <v>582.65</v>
      </c>
      <c r="G2500" s="19">
        <v>45351</v>
      </c>
      <c r="H2500">
        <v>-6.4298109416384932</v>
      </c>
    </row>
    <row r="2501" spans="1:8" x14ac:dyDescent="0.25">
      <c r="A2501" t="s">
        <v>342</v>
      </c>
      <c r="B2501" t="s">
        <v>385</v>
      </c>
      <c r="C2501">
        <v>27</v>
      </c>
      <c r="D2501">
        <v>570.04999999999995</v>
      </c>
      <c r="E2501" s="19">
        <v>45295</v>
      </c>
      <c r="F2501">
        <v>528.79999999999995</v>
      </c>
      <c r="G2501" s="19">
        <v>45334</v>
      </c>
      <c r="H2501">
        <v>-7.2362073502324362</v>
      </c>
    </row>
    <row r="2502" spans="1:8" x14ac:dyDescent="0.25">
      <c r="A2502" t="s">
        <v>342</v>
      </c>
      <c r="B2502" t="s">
        <v>383</v>
      </c>
      <c r="C2502">
        <v>74</v>
      </c>
      <c r="D2502">
        <v>594.70000000000005</v>
      </c>
      <c r="E2502" s="19">
        <v>45183</v>
      </c>
      <c r="F2502">
        <v>576</v>
      </c>
      <c r="G2502" s="19">
        <v>45293</v>
      </c>
      <c r="H2502">
        <v>3.144442576088792</v>
      </c>
    </row>
    <row r="2503" spans="1:8" x14ac:dyDescent="0.25">
      <c r="A2503" t="s">
        <v>343</v>
      </c>
      <c r="B2503" t="s">
        <v>385</v>
      </c>
      <c r="C2503">
        <v>24</v>
      </c>
      <c r="D2503">
        <v>1532.2</v>
      </c>
      <c r="E2503" s="19">
        <v>45628</v>
      </c>
      <c r="F2503">
        <v>1682.45</v>
      </c>
      <c r="G2503" s="19">
        <v>45660</v>
      </c>
      <c r="H2503">
        <v>9.8061610755776005</v>
      </c>
    </row>
    <row r="2504" spans="1:8" x14ac:dyDescent="0.25">
      <c r="A2504" t="s">
        <v>343</v>
      </c>
      <c r="B2504" t="s">
        <v>383</v>
      </c>
      <c r="C2504">
        <v>18</v>
      </c>
      <c r="D2504">
        <v>1453.15</v>
      </c>
      <c r="E2504" s="19">
        <v>45597</v>
      </c>
      <c r="F2504">
        <v>1502.75</v>
      </c>
      <c r="G2504" s="19">
        <v>45624</v>
      </c>
      <c r="H2504">
        <v>-3.4132746103292781</v>
      </c>
    </row>
    <row r="2505" spans="1:8" x14ac:dyDescent="0.25">
      <c r="A2505" t="s">
        <v>343</v>
      </c>
      <c r="B2505" t="s">
        <v>385</v>
      </c>
      <c r="C2505">
        <v>372</v>
      </c>
      <c r="D2505">
        <v>787.05</v>
      </c>
      <c r="E2505" s="19">
        <v>45051</v>
      </c>
      <c r="F2505">
        <v>1445.85</v>
      </c>
      <c r="G2505" s="19">
        <v>45595</v>
      </c>
      <c r="H2505">
        <v>83.704974271012006</v>
      </c>
    </row>
    <row r="2506" spans="1:8" x14ac:dyDescent="0.25">
      <c r="A2506" t="s">
        <v>344</v>
      </c>
      <c r="B2506" t="s">
        <v>383</v>
      </c>
      <c r="C2506">
        <v>8</v>
      </c>
      <c r="D2506">
        <v>374.15</v>
      </c>
      <c r="E2506" s="19">
        <v>45650</v>
      </c>
      <c r="F2506">
        <v>367.55</v>
      </c>
      <c r="G2506" s="19">
        <v>45660</v>
      </c>
      <c r="H2506">
        <v>1.7639983963650849</v>
      </c>
    </row>
    <row r="2507" spans="1:8" x14ac:dyDescent="0.25">
      <c r="A2507" t="s">
        <v>344</v>
      </c>
      <c r="B2507" t="s">
        <v>385</v>
      </c>
      <c r="C2507">
        <v>48</v>
      </c>
      <c r="D2507">
        <v>430.15</v>
      </c>
      <c r="E2507" s="19">
        <v>45579</v>
      </c>
      <c r="F2507">
        <v>371.85</v>
      </c>
      <c r="G2507" s="19">
        <v>45646</v>
      </c>
      <c r="H2507">
        <v>-13.553411600604431</v>
      </c>
    </row>
    <row r="2508" spans="1:8" x14ac:dyDescent="0.25">
      <c r="A2508" t="s">
        <v>344</v>
      </c>
      <c r="B2508" t="s">
        <v>383</v>
      </c>
      <c r="C2508">
        <v>45</v>
      </c>
      <c r="D2508">
        <v>352.9</v>
      </c>
      <c r="E2508" s="19">
        <v>45511</v>
      </c>
      <c r="F2508">
        <v>367.15</v>
      </c>
      <c r="G2508" s="19">
        <v>45575</v>
      </c>
      <c r="H2508">
        <v>-4.0379710966279401</v>
      </c>
    </row>
    <row r="2509" spans="1:8" x14ac:dyDescent="0.25">
      <c r="A2509" t="s">
        <v>344</v>
      </c>
      <c r="B2509" t="s">
        <v>385</v>
      </c>
      <c r="C2509">
        <v>81</v>
      </c>
      <c r="D2509">
        <v>342.2</v>
      </c>
      <c r="E2509" s="19">
        <v>45390</v>
      </c>
      <c r="F2509">
        <v>348.85</v>
      </c>
      <c r="G2509" s="19">
        <v>45509</v>
      </c>
      <c r="H2509">
        <v>1.943308007013453</v>
      </c>
    </row>
    <row r="2510" spans="1:8" x14ac:dyDescent="0.25">
      <c r="A2510" t="s">
        <v>344</v>
      </c>
      <c r="B2510" t="s">
        <v>383</v>
      </c>
      <c r="C2510">
        <v>24</v>
      </c>
      <c r="D2510">
        <v>329.05</v>
      </c>
      <c r="E2510" s="19">
        <v>45351</v>
      </c>
      <c r="F2510">
        <v>339</v>
      </c>
      <c r="G2510" s="19">
        <v>45386</v>
      </c>
      <c r="H2510">
        <v>-3.0238565567542892</v>
      </c>
    </row>
    <row r="2511" spans="1:8" x14ac:dyDescent="0.25">
      <c r="A2511" t="s">
        <v>344</v>
      </c>
      <c r="B2511" t="s">
        <v>385</v>
      </c>
      <c r="C2511">
        <v>26</v>
      </c>
      <c r="D2511">
        <v>350.4</v>
      </c>
      <c r="E2511" s="19">
        <v>45311</v>
      </c>
      <c r="F2511">
        <v>322.75</v>
      </c>
      <c r="G2511" s="19">
        <v>45349</v>
      </c>
      <c r="H2511">
        <v>-7.8909817351598122</v>
      </c>
    </row>
    <row r="2512" spans="1:8" x14ac:dyDescent="0.25">
      <c r="A2512" t="s">
        <v>344</v>
      </c>
      <c r="B2512" t="s">
        <v>383</v>
      </c>
      <c r="C2512">
        <v>26</v>
      </c>
      <c r="D2512">
        <v>294.10000000000002</v>
      </c>
      <c r="E2512" s="19">
        <v>45273</v>
      </c>
      <c r="F2512">
        <v>308.55</v>
      </c>
      <c r="G2512" s="19">
        <v>45309</v>
      </c>
      <c r="H2512">
        <v>-4.9132947976878567</v>
      </c>
    </row>
    <row r="2513" spans="1:8" x14ac:dyDescent="0.25">
      <c r="A2513" t="s">
        <v>344</v>
      </c>
      <c r="B2513" t="s">
        <v>385</v>
      </c>
      <c r="C2513">
        <v>8</v>
      </c>
      <c r="D2513">
        <v>334.25</v>
      </c>
      <c r="E2513" s="19">
        <v>45260</v>
      </c>
      <c r="F2513">
        <v>308.85000000000002</v>
      </c>
      <c r="G2513" s="19">
        <v>45271</v>
      </c>
      <c r="H2513">
        <v>-7.5991024682124086</v>
      </c>
    </row>
    <row r="2514" spans="1:8" x14ac:dyDescent="0.25">
      <c r="A2514" t="s">
        <v>344</v>
      </c>
      <c r="B2514" t="s">
        <v>383</v>
      </c>
      <c r="C2514">
        <v>27</v>
      </c>
      <c r="D2514">
        <v>314.60000000000002</v>
      </c>
      <c r="E2514" s="19">
        <v>45218</v>
      </c>
      <c r="F2514">
        <v>326.85000000000002</v>
      </c>
      <c r="G2514" s="19">
        <v>45258</v>
      </c>
      <c r="H2514">
        <v>-3.893833439287985</v>
      </c>
    </row>
    <row r="2515" spans="1:8" x14ac:dyDescent="0.25">
      <c r="A2515" t="s">
        <v>344</v>
      </c>
      <c r="B2515" t="s">
        <v>385</v>
      </c>
      <c r="C2515">
        <v>205</v>
      </c>
      <c r="D2515">
        <v>148.25</v>
      </c>
      <c r="E2515" s="19">
        <v>44915</v>
      </c>
      <c r="F2515">
        <v>328.75</v>
      </c>
      <c r="G2515" s="19">
        <v>45216</v>
      </c>
      <c r="H2515">
        <v>121.7537942664418</v>
      </c>
    </row>
    <row r="2516" spans="1:8" x14ac:dyDescent="0.25">
      <c r="A2516" t="s">
        <v>345</v>
      </c>
      <c r="B2516" t="s">
        <v>385</v>
      </c>
      <c r="C2516">
        <v>182</v>
      </c>
      <c r="D2516">
        <v>919.2</v>
      </c>
      <c r="E2516" s="19">
        <v>45394</v>
      </c>
      <c r="F2516">
        <v>1362.2</v>
      </c>
      <c r="G2516" s="19">
        <v>45660</v>
      </c>
      <c r="H2516">
        <v>48.194081810269793</v>
      </c>
    </row>
    <row r="2517" spans="1:8" x14ac:dyDescent="0.25">
      <c r="A2517" t="s">
        <v>345</v>
      </c>
      <c r="B2517" t="s">
        <v>383</v>
      </c>
      <c r="C2517">
        <v>16</v>
      </c>
      <c r="D2517">
        <v>837.75</v>
      </c>
      <c r="E2517" s="19">
        <v>45366</v>
      </c>
      <c r="F2517">
        <v>915</v>
      </c>
      <c r="G2517" s="19">
        <v>45391</v>
      </c>
      <c r="H2517">
        <v>-9.2211280214861233</v>
      </c>
    </row>
    <row r="2518" spans="1:8" x14ac:dyDescent="0.25">
      <c r="A2518" t="s">
        <v>345</v>
      </c>
      <c r="B2518" t="s">
        <v>385</v>
      </c>
      <c r="C2518">
        <v>79</v>
      </c>
      <c r="D2518">
        <v>790.35</v>
      </c>
      <c r="E2518" s="19">
        <v>45251</v>
      </c>
      <c r="F2518">
        <v>811.5</v>
      </c>
      <c r="G2518" s="19">
        <v>45364</v>
      </c>
      <c r="H2518">
        <v>2.6760296071360758</v>
      </c>
    </row>
    <row r="2519" spans="1:8" x14ac:dyDescent="0.25">
      <c r="A2519" t="s">
        <v>345</v>
      </c>
      <c r="B2519" t="s">
        <v>383</v>
      </c>
      <c r="C2519">
        <v>15</v>
      </c>
      <c r="D2519">
        <v>753.6</v>
      </c>
      <c r="E2519" s="19">
        <v>45229</v>
      </c>
      <c r="F2519">
        <v>786.8</v>
      </c>
      <c r="G2519" s="19">
        <v>45247</v>
      </c>
      <c r="H2519">
        <v>-4.4055201698513704</v>
      </c>
    </row>
    <row r="2520" spans="1:8" x14ac:dyDescent="0.25">
      <c r="A2520" t="s">
        <v>345</v>
      </c>
      <c r="B2520" t="s">
        <v>385</v>
      </c>
      <c r="C2520">
        <v>31</v>
      </c>
      <c r="D2520">
        <v>820.2</v>
      </c>
      <c r="E2520" s="19">
        <v>45180</v>
      </c>
      <c r="F2520">
        <v>743.1</v>
      </c>
      <c r="G2520" s="19">
        <v>45225</v>
      </c>
      <c r="H2520">
        <v>-9.4001463057790815</v>
      </c>
    </row>
    <row r="2521" spans="1:8" x14ac:dyDescent="0.25">
      <c r="A2521" t="s">
        <v>345</v>
      </c>
      <c r="B2521" t="s">
        <v>383</v>
      </c>
      <c r="C2521">
        <v>5</v>
      </c>
      <c r="D2521">
        <v>746.9</v>
      </c>
      <c r="E2521" s="19">
        <v>45170</v>
      </c>
      <c r="F2521">
        <v>793.35</v>
      </c>
      <c r="G2521" s="19">
        <v>45176</v>
      </c>
      <c r="H2521">
        <v>-6.219038693265504</v>
      </c>
    </row>
    <row r="2522" spans="1:8" x14ac:dyDescent="0.25">
      <c r="A2522" t="s">
        <v>345</v>
      </c>
      <c r="B2522" t="s">
        <v>385</v>
      </c>
      <c r="C2522">
        <v>63</v>
      </c>
      <c r="D2522">
        <v>706</v>
      </c>
      <c r="E2522" s="19">
        <v>45078</v>
      </c>
      <c r="F2522">
        <v>751.3</v>
      </c>
      <c r="G2522" s="19">
        <v>45168</v>
      </c>
      <c r="H2522">
        <v>6.4164305949008433</v>
      </c>
    </row>
    <row r="2523" spans="1:8" x14ac:dyDescent="0.25">
      <c r="A2523" t="s">
        <v>345</v>
      </c>
      <c r="B2523" t="s">
        <v>383</v>
      </c>
      <c r="C2523">
        <v>80</v>
      </c>
      <c r="D2523">
        <v>744.35</v>
      </c>
      <c r="E2523" s="19">
        <v>44957</v>
      </c>
      <c r="F2523">
        <v>705.1</v>
      </c>
      <c r="G2523" s="19">
        <v>45076</v>
      </c>
      <c r="H2523">
        <v>5.2730570296231614</v>
      </c>
    </row>
    <row r="2524" spans="1:8" x14ac:dyDescent="0.25">
      <c r="A2524" t="s">
        <v>346</v>
      </c>
      <c r="B2524" t="s">
        <v>385</v>
      </c>
      <c r="C2524">
        <v>18</v>
      </c>
      <c r="D2524">
        <v>3929.55</v>
      </c>
      <c r="E2524" s="19">
        <v>45636</v>
      </c>
      <c r="F2524">
        <v>3975.4</v>
      </c>
      <c r="G2524" s="19">
        <v>45660</v>
      </c>
      <c r="H2524">
        <v>1.1668002697509869</v>
      </c>
    </row>
    <row r="2525" spans="1:8" x14ac:dyDescent="0.25">
      <c r="A2525" t="s">
        <v>346</v>
      </c>
      <c r="B2525" t="s">
        <v>383</v>
      </c>
      <c r="C2525">
        <v>49</v>
      </c>
      <c r="D2525">
        <v>3942.75</v>
      </c>
      <c r="E2525" s="19">
        <v>45561</v>
      </c>
      <c r="F2525">
        <v>4203.3999999999996</v>
      </c>
      <c r="G2525" s="19">
        <v>45632</v>
      </c>
      <c r="H2525">
        <v>-6.6108680489505964</v>
      </c>
    </row>
    <row r="2526" spans="1:8" x14ac:dyDescent="0.25">
      <c r="A2526" t="s">
        <v>346</v>
      </c>
      <c r="B2526" t="s">
        <v>385</v>
      </c>
      <c r="C2526">
        <v>7</v>
      </c>
      <c r="D2526">
        <v>4383.8999999999996</v>
      </c>
      <c r="E2526" s="19">
        <v>45551</v>
      </c>
      <c r="F2526">
        <v>3933.4</v>
      </c>
      <c r="G2526" s="19">
        <v>45559</v>
      </c>
      <c r="H2526">
        <v>-10.27623805287528</v>
      </c>
    </row>
    <row r="2527" spans="1:8" x14ac:dyDescent="0.25">
      <c r="A2527" t="s">
        <v>346</v>
      </c>
      <c r="B2527" t="s">
        <v>383</v>
      </c>
      <c r="C2527">
        <v>44</v>
      </c>
      <c r="D2527">
        <v>4306.8999999999996</v>
      </c>
      <c r="E2527" s="19">
        <v>45484</v>
      </c>
      <c r="F2527">
        <v>4522.1499999999996</v>
      </c>
      <c r="G2527" s="19">
        <v>45547</v>
      </c>
      <c r="H2527">
        <v>-4.9977942371543342</v>
      </c>
    </row>
    <row r="2528" spans="1:8" x14ac:dyDescent="0.25">
      <c r="A2528" t="s">
        <v>346</v>
      </c>
      <c r="B2528" t="s">
        <v>385</v>
      </c>
      <c r="C2528">
        <v>120</v>
      </c>
      <c r="D2528">
        <v>2575</v>
      </c>
      <c r="E2528" s="19">
        <v>45306</v>
      </c>
      <c r="F2528">
        <v>4342.6499999999996</v>
      </c>
      <c r="G2528" s="19">
        <v>45482</v>
      </c>
      <c r="H2528">
        <v>68.646601941747548</v>
      </c>
    </row>
    <row r="2529" spans="1:8" x14ac:dyDescent="0.25">
      <c r="A2529" t="s">
        <v>346</v>
      </c>
      <c r="B2529" t="s">
        <v>383</v>
      </c>
      <c r="C2529">
        <v>89</v>
      </c>
      <c r="D2529">
        <v>2609.25</v>
      </c>
      <c r="E2529" s="19">
        <v>45173</v>
      </c>
      <c r="F2529">
        <v>2590</v>
      </c>
      <c r="G2529" s="19">
        <v>45302</v>
      </c>
      <c r="H2529">
        <v>0.73775989268947018</v>
      </c>
    </row>
    <row r="2530" spans="1:8" x14ac:dyDescent="0.25">
      <c r="A2530" t="s">
        <v>346</v>
      </c>
      <c r="B2530" t="s">
        <v>385</v>
      </c>
      <c r="C2530">
        <v>73</v>
      </c>
      <c r="D2530">
        <v>2422.85</v>
      </c>
      <c r="E2530" s="19">
        <v>45065</v>
      </c>
      <c r="F2530">
        <v>2660</v>
      </c>
      <c r="G2530" s="19">
        <v>45169</v>
      </c>
      <c r="H2530">
        <v>9.7880595166848998</v>
      </c>
    </row>
    <row r="2531" spans="1:8" x14ac:dyDescent="0.25">
      <c r="A2531" t="s">
        <v>346</v>
      </c>
      <c r="B2531" t="s">
        <v>383</v>
      </c>
      <c r="C2531">
        <v>53</v>
      </c>
      <c r="D2531">
        <v>2603</v>
      </c>
      <c r="E2531" s="19">
        <v>44981</v>
      </c>
      <c r="F2531">
        <v>2381.25</v>
      </c>
      <c r="G2531" s="19">
        <v>45063</v>
      </c>
      <c r="H2531">
        <v>8.5190165194006919</v>
      </c>
    </row>
    <row r="2532" spans="1:8" x14ac:dyDescent="0.25">
      <c r="A2532" t="s">
        <v>347</v>
      </c>
      <c r="B2532" t="s">
        <v>385</v>
      </c>
      <c r="C2532">
        <v>25</v>
      </c>
      <c r="D2532">
        <v>621.20000000000005</v>
      </c>
      <c r="E2532" s="19">
        <v>45625</v>
      </c>
      <c r="F2532">
        <v>652.20000000000005</v>
      </c>
      <c r="G2532" s="19">
        <v>45660</v>
      </c>
      <c r="H2532">
        <v>4.9903412749517058</v>
      </c>
    </row>
    <row r="2533" spans="1:8" x14ac:dyDescent="0.25">
      <c r="A2533" t="s">
        <v>347</v>
      </c>
      <c r="B2533" t="s">
        <v>383</v>
      </c>
      <c r="C2533">
        <v>36</v>
      </c>
      <c r="D2533">
        <v>542.04999999999995</v>
      </c>
      <c r="E2533" s="19">
        <v>45572</v>
      </c>
      <c r="F2533">
        <v>613</v>
      </c>
      <c r="G2533" s="19">
        <v>45623</v>
      </c>
      <c r="H2533">
        <v>-13.089198413430511</v>
      </c>
    </row>
    <row r="2534" spans="1:8" x14ac:dyDescent="0.25">
      <c r="A2534" t="s">
        <v>347</v>
      </c>
      <c r="B2534" t="s">
        <v>385</v>
      </c>
      <c r="C2534">
        <v>13</v>
      </c>
      <c r="D2534">
        <v>621.04999999999995</v>
      </c>
      <c r="E2534" s="19">
        <v>45551</v>
      </c>
      <c r="F2534">
        <v>587.75</v>
      </c>
      <c r="G2534" s="19">
        <v>45568</v>
      </c>
      <c r="H2534">
        <v>-5.3618871266403598</v>
      </c>
    </row>
    <row r="2535" spans="1:8" x14ac:dyDescent="0.25">
      <c r="A2535" t="s">
        <v>347</v>
      </c>
      <c r="B2535" t="s">
        <v>383</v>
      </c>
      <c r="C2535">
        <v>23</v>
      </c>
      <c r="D2535">
        <v>589.29999999999995</v>
      </c>
      <c r="E2535" s="19">
        <v>45516</v>
      </c>
      <c r="F2535">
        <v>645.6</v>
      </c>
      <c r="G2535" s="19">
        <v>45547</v>
      </c>
      <c r="H2535">
        <v>-9.5537077889020985</v>
      </c>
    </row>
    <row r="2536" spans="1:8" x14ac:dyDescent="0.25">
      <c r="A2536" t="s">
        <v>347</v>
      </c>
      <c r="B2536" t="s">
        <v>385</v>
      </c>
      <c r="C2536">
        <v>364</v>
      </c>
      <c r="D2536">
        <v>256.64</v>
      </c>
      <c r="E2536" s="19">
        <v>44974</v>
      </c>
      <c r="F2536">
        <v>595.82000000000005</v>
      </c>
      <c r="G2536" s="19">
        <v>45512</v>
      </c>
      <c r="H2536">
        <v>132.16178304239409</v>
      </c>
    </row>
    <row r="2537" spans="1:8" x14ac:dyDescent="0.25">
      <c r="A2537" t="s">
        <v>348</v>
      </c>
      <c r="B2537" t="s">
        <v>383</v>
      </c>
      <c r="C2537">
        <v>2</v>
      </c>
      <c r="D2537">
        <v>449.75</v>
      </c>
      <c r="E2537" s="19">
        <v>45659</v>
      </c>
      <c r="F2537">
        <v>458.25</v>
      </c>
      <c r="G2537" s="19">
        <v>45660</v>
      </c>
      <c r="H2537">
        <v>-1.8899388549194001</v>
      </c>
    </row>
    <row r="2538" spans="1:8" x14ac:dyDescent="0.25">
      <c r="A2538" t="s">
        <v>348</v>
      </c>
      <c r="B2538" t="s">
        <v>385</v>
      </c>
      <c r="C2538">
        <v>15</v>
      </c>
      <c r="D2538">
        <v>500.25</v>
      </c>
      <c r="E2538" s="19">
        <v>45636</v>
      </c>
      <c r="F2538">
        <v>444.45</v>
      </c>
      <c r="G2538" s="19">
        <v>45657</v>
      </c>
      <c r="H2538">
        <v>-11.1544227886057</v>
      </c>
    </row>
    <row r="2539" spans="1:8" x14ac:dyDescent="0.25">
      <c r="A2539" t="s">
        <v>348</v>
      </c>
      <c r="B2539" t="s">
        <v>383</v>
      </c>
      <c r="C2539">
        <v>17</v>
      </c>
      <c r="D2539">
        <v>444.75</v>
      </c>
      <c r="E2539" s="19">
        <v>45608</v>
      </c>
      <c r="F2539">
        <v>501.4</v>
      </c>
      <c r="G2539" s="19">
        <v>45632</v>
      </c>
      <c r="H2539">
        <v>-12.737492973580659</v>
      </c>
    </row>
    <row r="2540" spans="1:8" x14ac:dyDescent="0.25">
      <c r="A2540" t="s">
        <v>348</v>
      </c>
      <c r="B2540" t="s">
        <v>385</v>
      </c>
      <c r="C2540">
        <v>53</v>
      </c>
      <c r="D2540">
        <v>463.9</v>
      </c>
      <c r="E2540" s="19">
        <v>45531</v>
      </c>
      <c r="F2540">
        <v>457.9</v>
      </c>
      <c r="G2540" s="19">
        <v>45604</v>
      </c>
      <c r="H2540">
        <v>-1.2933821944384569</v>
      </c>
    </row>
    <row r="2541" spans="1:8" x14ac:dyDescent="0.25">
      <c r="A2541" t="s">
        <v>348</v>
      </c>
      <c r="B2541" t="s">
        <v>383</v>
      </c>
      <c r="C2541">
        <v>10</v>
      </c>
      <c r="D2541">
        <v>428.85</v>
      </c>
      <c r="E2541" s="19">
        <v>45513</v>
      </c>
      <c r="F2541">
        <v>449.3</v>
      </c>
      <c r="G2541" s="19">
        <v>45527</v>
      </c>
      <c r="H2541">
        <v>-4.7685670980529293</v>
      </c>
    </row>
    <row r="2542" spans="1:8" x14ac:dyDescent="0.25">
      <c r="A2542" t="s">
        <v>348</v>
      </c>
      <c r="B2542" t="s">
        <v>385</v>
      </c>
      <c r="C2542">
        <v>180</v>
      </c>
      <c r="D2542">
        <v>238.8</v>
      </c>
      <c r="E2542" s="19">
        <v>45246</v>
      </c>
      <c r="F2542">
        <v>432.3</v>
      </c>
      <c r="G2542" s="19">
        <v>45511</v>
      </c>
      <c r="H2542">
        <v>81.030150753768837</v>
      </c>
    </row>
    <row r="2543" spans="1:8" x14ac:dyDescent="0.25">
      <c r="A2543" t="s">
        <v>348</v>
      </c>
      <c r="B2543" t="s">
        <v>383</v>
      </c>
      <c r="C2543">
        <v>108</v>
      </c>
      <c r="D2543">
        <v>276.75</v>
      </c>
      <c r="E2543" s="19">
        <v>45086</v>
      </c>
      <c r="F2543">
        <v>241.95</v>
      </c>
      <c r="G2543" s="19">
        <v>45243</v>
      </c>
      <c r="H2543">
        <v>12.574525745257461</v>
      </c>
    </row>
    <row r="2544" spans="1:8" x14ac:dyDescent="0.25">
      <c r="A2544" t="s">
        <v>348</v>
      </c>
      <c r="B2544" t="s">
        <v>385</v>
      </c>
      <c r="C2544">
        <v>8</v>
      </c>
      <c r="D2544">
        <v>300.35000000000002</v>
      </c>
      <c r="E2544" s="19">
        <v>45075</v>
      </c>
      <c r="F2544">
        <v>278.45</v>
      </c>
      <c r="G2544" s="19">
        <v>45084</v>
      </c>
      <c r="H2544">
        <v>-7.2914932578658336</v>
      </c>
    </row>
    <row r="2545" spans="1:8" x14ac:dyDescent="0.25">
      <c r="A2545" t="s">
        <v>348</v>
      </c>
      <c r="B2545" t="s">
        <v>383</v>
      </c>
      <c r="C2545">
        <v>59</v>
      </c>
      <c r="D2545">
        <v>294.45</v>
      </c>
      <c r="E2545" s="19">
        <v>44981</v>
      </c>
      <c r="F2545">
        <v>295.8</v>
      </c>
      <c r="G2545" s="19">
        <v>45071</v>
      </c>
      <c r="H2545">
        <v>-0.45848191543556549</v>
      </c>
    </row>
    <row r="2546" spans="1:8" x14ac:dyDescent="0.25">
      <c r="A2546" t="s">
        <v>349</v>
      </c>
      <c r="B2546" t="s">
        <v>385</v>
      </c>
      <c r="C2546">
        <v>69</v>
      </c>
      <c r="D2546">
        <v>492.05</v>
      </c>
      <c r="E2546" s="19">
        <v>45560</v>
      </c>
      <c r="F2546">
        <v>552.70000000000005</v>
      </c>
      <c r="G2546" s="19">
        <v>45660</v>
      </c>
      <c r="H2546">
        <v>12.32598313179556</v>
      </c>
    </row>
    <row r="2547" spans="1:8" x14ac:dyDescent="0.25">
      <c r="A2547" t="s">
        <v>349</v>
      </c>
      <c r="B2547" t="s">
        <v>383</v>
      </c>
      <c r="C2547">
        <v>10</v>
      </c>
      <c r="D2547">
        <v>438.4</v>
      </c>
      <c r="E2547" s="19">
        <v>45545</v>
      </c>
      <c r="F2547">
        <v>445.75</v>
      </c>
      <c r="G2547" s="19">
        <v>45558</v>
      </c>
      <c r="H2547">
        <v>-1.676551094890516</v>
      </c>
    </row>
    <row r="2548" spans="1:8" x14ac:dyDescent="0.25">
      <c r="A2548" t="s">
        <v>349</v>
      </c>
      <c r="B2548" t="s">
        <v>385</v>
      </c>
      <c r="C2548">
        <v>8</v>
      </c>
      <c r="D2548">
        <v>452</v>
      </c>
      <c r="E2548" s="19">
        <v>45532</v>
      </c>
      <c r="F2548">
        <v>445.1</v>
      </c>
      <c r="G2548" s="19">
        <v>45541</v>
      </c>
      <c r="H2548">
        <v>-1.5265486725663671</v>
      </c>
    </row>
    <row r="2549" spans="1:8" x14ac:dyDescent="0.25">
      <c r="A2549" t="s">
        <v>349</v>
      </c>
      <c r="B2549" t="s">
        <v>383</v>
      </c>
      <c r="C2549">
        <v>6</v>
      </c>
      <c r="D2549">
        <v>441.8</v>
      </c>
      <c r="E2549" s="19">
        <v>45523</v>
      </c>
      <c r="F2549">
        <v>455.7</v>
      </c>
      <c r="G2549" s="19">
        <v>45530</v>
      </c>
      <c r="H2549">
        <v>-3.1462200090538661</v>
      </c>
    </row>
    <row r="2550" spans="1:8" x14ac:dyDescent="0.25">
      <c r="A2550" t="s">
        <v>349</v>
      </c>
      <c r="B2550" t="s">
        <v>385</v>
      </c>
      <c r="C2550">
        <v>6</v>
      </c>
      <c r="D2550">
        <v>462.35</v>
      </c>
      <c r="E2550" s="19">
        <v>45511</v>
      </c>
      <c r="F2550">
        <v>433.65</v>
      </c>
      <c r="G2550" s="19">
        <v>45518</v>
      </c>
      <c r="H2550">
        <v>-6.2074186222558758</v>
      </c>
    </row>
    <row r="2551" spans="1:8" x14ac:dyDescent="0.25">
      <c r="A2551" t="s">
        <v>349</v>
      </c>
      <c r="B2551" t="s">
        <v>383</v>
      </c>
      <c r="C2551">
        <v>28</v>
      </c>
      <c r="D2551">
        <v>446.1</v>
      </c>
      <c r="E2551" s="19">
        <v>45469</v>
      </c>
      <c r="F2551">
        <v>469.4</v>
      </c>
      <c r="G2551" s="19">
        <v>45509</v>
      </c>
      <c r="H2551">
        <v>-5.2230441605021189</v>
      </c>
    </row>
    <row r="2552" spans="1:8" x14ac:dyDescent="0.25">
      <c r="A2552" t="s">
        <v>349</v>
      </c>
      <c r="B2552" t="s">
        <v>385</v>
      </c>
      <c r="C2552">
        <v>83</v>
      </c>
      <c r="D2552">
        <v>430.4</v>
      </c>
      <c r="E2552" s="19">
        <v>45343</v>
      </c>
      <c r="F2552">
        <v>443.5</v>
      </c>
      <c r="G2552" s="19">
        <v>45467</v>
      </c>
      <c r="H2552">
        <v>3.043680297397775</v>
      </c>
    </row>
    <row r="2553" spans="1:8" x14ac:dyDescent="0.25">
      <c r="A2553" t="s">
        <v>349</v>
      </c>
      <c r="B2553" t="s">
        <v>383</v>
      </c>
      <c r="C2553">
        <v>21</v>
      </c>
      <c r="D2553">
        <v>424.8</v>
      </c>
      <c r="E2553" s="19">
        <v>45310</v>
      </c>
      <c r="F2553">
        <v>420.95</v>
      </c>
      <c r="G2553" s="19">
        <v>45341</v>
      </c>
      <c r="H2553">
        <v>0.90630885122411076</v>
      </c>
    </row>
    <row r="2554" spans="1:8" x14ac:dyDescent="0.25">
      <c r="A2554" t="s">
        <v>349</v>
      </c>
      <c r="B2554" t="s">
        <v>385</v>
      </c>
      <c r="C2554">
        <v>4</v>
      </c>
      <c r="D2554">
        <v>436</v>
      </c>
      <c r="E2554" s="19">
        <v>45303</v>
      </c>
      <c r="F2554">
        <v>412</v>
      </c>
      <c r="G2554" s="19">
        <v>45308</v>
      </c>
      <c r="H2554">
        <v>-5.5045871559633044</v>
      </c>
    </row>
    <row r="2555" spans="1:8" x14ac:dyDescent="0.25">
      <c r="A2555" t="s">
        <v>349</v>
      </c>
      <c r="B2555" t="s">
        <v>383</v>
      </c>
      <c r="C2555">
        <v>14</v>
      </c>
      <c r="D2555">
        <v>414.7</v>
      </c>
      <c r="E2555" s="19">
        <v>45281</v>
      </c>
      <c r="F2555">
        <v>435.7</v>
      </c>
      <c r="G2555" s="19">
        <v>45301</v>
      </c>
      <c r="H2555">
        <v>-5.0639016156257526</v>
      </c>
    </row>
    <row r="2556" spans="1:8" x14ac:dyDescent="0.25">
      <c r="A2556" t="s">
        <v>349</v>
      </c>
      <c r="B2556" t="s">
        <v>385</v>
      </c>
      <c r="C2556">
        <v>24</v>
      </c>
      <c r="D2556">
        <v>431.9</v>
      </c>
      <c r="E2556" s="19">
        <v>45245</v>
      </c>
      <c r="F2556">
        <v>418.75</v>
      </c>
      <c r="G2556" s="19">
        <v>45279</v>
      </c>
      <c r="H2556">
        <v>-3.0446862699698949</v>
      </c>
    </row>
    <row r="2557" spans="1:8" x14ac:dyDescent="0.25">
      <c r="A2557" t="s">
        <v>349</v>
      </c>
      <c r="B2557" t="s">
        <v>383</v>
      </c>
      <c r="C2557">
        <v>9</v>
      </c>
      <c r="D2557">
        <v>416</v>
      </c>
      <c r="E2557" s="19">
        <v>45231</v>
      </c>
      <c r="F2557">
        <v>422.5</v>
      </c>
      <c r="G2557" s="19">
        <v>45242</v>
      </c>
      <c r="H2557">
        <v>-1.5625</v>
      </c>
    </row>
    <row r="2558" spans="1:8" x14ac:dyDescent="0.25">
      <c r="A2558" t="s">
        <v>349</v>
      </c>
      <c r="B2558" t="s">
        <v>385</v>
      </c>
      <c r="C2558">
        <v>96</v>
      </c>
      <c r="D2558">
        <v>366.4</v>
      </c>
      <c r="E2558" s="19">
        <v>45089</v>
      </c>
      <c r="F2558">
        <v>418</v>
      </c>
      <c r="G2558" s="19">
        <v>45229</v>
      </c>
      <c r="H2558">
        <v>14.082969432314419</v>
      </c>
    </row>
    <row r="2559" spans="1:8" x14ac:dyDescent="0.25">
      <c r="A2559" t="s">
        <v>349</v>
      </c>
      <c r="B2559" t="s">
        <v>383</v>
      </c>
      <c r="C2559">
        <v>4</v>
      </c>
      <c r="D2559">
        <v>354.8</v>
      </c>
      <c r="E2559" s="19">
        <v>45082</v>
      </c>
      <c r="F2559">
        <v>364.75</v>
      </c>
      <c r="G2559" s="19">
        <v>45085</v>
      </c>
      <c r="H2559">
        <v>-2.8043968432919919</v>
      </c>
    </row>
    <row r="2560" spans="1:8" x14ac:dyDescent="0.25">
      <c r="A2560" t="s">
        <v>349</v>
      </c>
      <c r="B2560" t="s">
        <v>385</v>
      </c>
      <c r="C2560">
        <v>33</v>
      </c>
      <c r="D2560">
        <v>367</v>
      </c>
      <c r="E2560" s="19">
        <v>45033</v>
      </c>
      <c r="F2560">
        <v>351.25</v>
      </c>
      <c r="G2560" s="19">
        <v>45078</v>
      </c>
      <c r="H2560">
        <v>-4.291553133514987</v>
      </c>
    </row>
    <row r="2561" spans="1:8" x14ac:dyDescent="0.25">
      <c r="A2561" t="s">
        <v>350</v>
      </c>
      <c r="B2561" t="s">
        <v>385</v>
      </c>
      <c r="C2561">
        <v>186</v>
      </c>
      <c r="D2561">
        <v>665</v>
      </c>
      <c r="E2561" s="19">
        <v>45387</v>
      </c>
      <c r="F2561">
        <v>1113.0999999999999</v>
      </c>
      <c r="G2561" s="19">
        <v>45660</v>
      </c>
      <c r="H2561">
        <v>67.383458646616518</v>
      </c>
    </row>
    <row r="2562" spans="1:8" x14ac:dyDescent="0.25">
      <c r="A2562" t="s">
        <v>350</v>
      </c>
      <c r="B2562" t="s">
        <v>383</v>
      </c>
      <c r="C2562">
        <v>18</v>
      </c>
      <c r="D2562">
        <v>622.6</v>
      </c>
      <c r="E2562" s="19">
        <v>45357</v>
      </c>
      <c r="F2562">
        <v>648.85</v>
      </c>
      <c r="G2562" s="19">
        <v>45385</v>
      </c>
      <c r="H2562">
        <v>-4.2161901702537747</v>
      </c>
    </row>
    <row r="2563" spans="1:8" x14ac:dyDescent="0.25">
      <c r="A2563" t="s">
        <v>350</v>
      </c>
      <c r="B2563" t="s">
        <v>385</v>
      </c>
      <c r="C2563">
        <v>182</v>
      </c>
      <c r="D2563">
        <v>405.05</v>
      </c>
      <c r="E2563" s="19">
        <v>45091</v>
      </c>
      <c r="F2563">
        <v>618.25</v>
      </c>
      <c r="G2563" s="19">
        <v>45355</v>
      </c>
      <c r="H2563">
        <v>52.635477101592393</v>
      </c>
    </row>
    <row r="2564" spans="1:8" x14ac:dyDescent="0.25">
      <c r="A2564" t="s">
        <v>350</v>
      </c>
      <c r="B2564" t="s">
        <v>383</v>
      </c>
      <c r="C2564">
        <v>110</v>
      </c>
      <c r="D2564">
        <v>437.15</v>
      </c>
      <c r="E2564" s="19">
        <v>44925</v>
      </c>
      <c r="F2564">
        <v>390.55</v>
      </c>
      <c r="G2564" s="19">
        <v>45089</v>
      </c>
      <c r="H2564">
        <v>10.659956536657891</v>
      </c>
    </row>
    <row r="2565" spans="1:8" x14ac:dyDescent="0.25">
      <c r="A2565" t="s">
        <v>351</v>
      </c>
      <c r="B2565" t="s">
        <v>385</v>
      </c>
      <c r="C2565">
        <v>39</v>
      </c>
      <c r="D2565">
        <v>578.4</v>
      </c>
      <c r="E2565" s="19">
        <v>45603</v>
      </c>
      <c r="F2565">
        <v>946.15</v>
      </c>
      <c r="G2565" s="19">
        <v>45660</v>
      </c>
      <c r="H2565">
        <v>63.580567081604443</v>
      </c>
    </row>
    <row r="2566" spans="1:8" x14ac:dyDescent="0.25">
      <c r="A2566" t="s">
        <v>351</v>
      </c>
      <c r="B2566" t="s">
        <v>383</v>
      </c>
      <c r="C2566">
        <v>21</v>
      </c>
      <c r="D2566">
        <v>534.65</v>
      </c>
      <c r="E2566" s="19">
        <v>45573</v>
      </c>
      <c r="F2566">
        <v>570.45000000000005</v>
      </c>
      <c r="G2566" s="19">
        <v>45601</v>
      </c>
      <c r="H2566">
        <v>-6.6959693257271251</v>
      </c>
    </row>
    <row r="2567" spans="1:8" x14ac:dyDescent="0.25">
      <c r="A2567" t="s">
        <v>351</v>
      </c>
      <c r="B2567" t="s">
        <v>385</v>
      </c>
      <c r="C2567">
        <v>63</v>
      </c>
      <c r="D2567">
        <v>521.85</v>
      </c>
      <c r="E2567" s="19">
        <v>45478</v>
      </c>
      <c r="F2567">
        <v>528.20000000000005</v>
      </c>
      <c r="G2567" s="19">
        <v>45569</v>
      </c>
      <c r="H2567">
        <v>1.2168247580722471</v>
      </c>
    </row>
    <row r="2568" spans="1:8" x14ac:dyDescent="0.25">
      <c r="A2568" t="s">
        <v>351</v>
      </c>
      <c r="B2568" t="s">
        <v>383</v>
      </c>
      <c r="C2568">
        <v>3</v>
      </c>
      <c r="D2568">
        <v>480.85</v>
      </c>
      <c r="E2568" s="19">
        <v>45474</v>
      </c>
      <c r="F2568">
        <v>481.95</v>
      </c>
      <c r="G2568" s="19">
        <v>45476</v>
      </c>
      <c r="H2568">
        <v>-0.22876156805655939</v>
      </c>
    </row>
    <row r="2569" spans="1:8" x14ac:dyDescent="0.25">
      <c r="A2569" t="s">
        <v>351</v>
      </c>
      <c r="B2569" t="s">
        <v>385</v>
      </c>
      <c r="C2569">
        <v>8</v>
      </c>
      <c r="D2569">
        <v>496.4</v>
      </c>
      <c r="E2569" s="19">
        <v>45461</v>
      </c>
      <c r="F2569">
        <v>480.45</v>
      </c>
      <c r="G2569" s="19">
        <v>45470</v>
      </c>
      <c r="H2569">
        <v>-3.2131345688960491</v>
      </c>
    </row>
    <row r="2570" spans="1:8" x14ac:dyDescent="0.25">
      <c r="A2570" t="s">
        <v>351</v>
      </c>
      <c r="B2570" t="s">
        <v>383</v>
      </c>
      <c r="C2570">
        <v>7</v>
      </c>
      <c r="D2570">
        <v>475.45</v>
      </c>
      <c r="E2570" s="19">
        <v>45448</v>
      </c>
      <c r="F2570">
        <v>500.35</v>
      </c>
      <c r="G2570" s="19">
        <v>45456</v>
      </c>
      <c r="H2570">
        <v>-5.2371437585445442</v>
      </c>
    </row>
    <row r="2571" spans="1:8" x14ac:dyDescent="0.25">
      <c r="A2571" t="s">
        <v>351</v>
      </c>
      <c r="B2571" t="s">
        <v>385</v>
      </c>
      <c r="C2571">
        <v>27</v>
      </c>
      <c r="D2571">
        <v>560.35</v>
      </c>
      <c r="E2571" s="19">
        <v>45407</v>
      </c>
      <c r="F2571">
        <v>475.75</v>
      </c>
      <c r="G2571" s="19">
        <v>45446</v>
      </c>
      <c r="H2571">
        <v>-15.09770679039886</v>
      </c>
    </row>
    <row r="2572" spans="1:8" x14ac:dyDescent="0.25">
      <c r="A2572" t="s">
        <v>351</v>
      </c>
      <c r="B2572" t="s">
        <v>383</v>
      </c>
      <c r="C2572">
        <v>19</v>
      </c>
      <c r="D2572">
        <v>449.05</v>
      </c>
      <c r="E2572" s="19">
        <v>45373</v>
      </c>
      <c r="F2572">
        <v>478.1</v>
      </c>
      <c r="G2572" s="19">
        <v>45405</v>
      </c>
      <c r="H2572">
        <v>-6.4692127825409216</v>
      </c>
    </row>
    <row r="2573" spans="1:8" x14ac:dyDescent="0.25">
      <c r="A2573" t="s">
        <v>351</v>
      </c>
      <c r="B2573" t="s">
        <v>385</v>
      </c>
      <c r="C2573">
        <v>33</v>
      </c>
      <c r="D2573">
        <v>474.6</v>
      </c>
      <c r="E2573" s="19">
        <v>45327</v>
      </c>
      <c r="F2573">
        <v>444.2</v>
      </c>
      <c r="G2573" s="19">
        <v>45371</v>
      </c>
      <c r="H2573">
        <v>-6.4053940160134921</v>
      </c>
    </row>
    <row r="2574" spans="1:8" x14ac:dyDescent="0.25">
      <c r="A2574" t="s">
        <v>351</v>
      </c>
      <c r="B2574" t="s">
        <v>383</v>
      </c>
      <c r="C2574">
        <v>65</v>
      </c>
      <c r="D2574">
        <v>454.4</v>
      </c>
      <c r="E2574" s="19">
        <v>45230</v>
      </c>
      <c r="F2574">
        <v>457</v>
      </c>
      <c r="G2574" s="19">
        <v>45323</v>
      </c>
      <c r="H2574">
        <v>-0.57218309859155436</v>
      </c>
    </row>
    <row r="2575" spans="1:8" x14ac:dyDescent="0.25">
      <c r="A2575" t="s">
        <v>351</v>
      </c>
      <c r="B2575" t="s">
        <v>385</v>
      </c>
      <c r="C2575">
        <v>132</v>
      </c>
      <c r="D2575">
        <v>365.3</v>
      </c>
      <c r="E2575" s="19">
        <v>45035</v>
      </c>
      <c r="F2575">
        <v>505.7</v>
      </c>
      <c r="G2575" s="19">
        <v>45226</v>
      </c>
      <c r="H2575">
        <v>38.434163701067611</v>
      </c>
    </row>
    <row r="2576" spans="1:8" x14ac:dyDescent="0.25">
      <c r="A2576" t="s">
        <v>352</v>
      </c>
      <c r="B2576" t="s">
        <v>383</v>
      </c>
      <c r="C2576">
        <v>51</v>
      </c>
      <c r="D2576">
        <v>1955.35</v>
      </c>
      <c r="E2576" s="19">
        <v>45587</v>
      </c>
      <c r="F2576">
        <v>1784.2</v>
      </c>
      <c r="G2576" s="19">
        <v>45660</v>
      </c>
      <c r="H2576">
        <v>8.7529086864244174</v>
      </c>
    </row>
    <row r="2577" spans="1:8" x14ac:dyDescent="0.25">
      <c r="A2577" t="s">
        <v>352</v>
      </c>
      <c r="B2577" t="s">
        <v>385</v>
      </c>
      <c r="C2577">
        <v>13</v>
      </c>
      <c r="D2577">
        <v>2124.3000000000002</v>
      </c>
      <c r="E2577" s="19">
        <v>45566</v>
      </c>
      <c r="F2577">
        <v>1929.3</v>
      </c>
      <c r="G2577" s="19">
        <v>45583</v>
      </c>
      <c r="H2577">
        <v>-9.1794944216918619</v>
      </c>
    </row>
    <row r="2578" spans="1:8" x14ac:dyDescent="0.25">
      <c r="A2578" t="s">
        <v>352</v>
      </c>
      <c r="B2578" t="s">
        <v>383</v>
      </c>
      <c r="C2578">
        <v>14</v>
      </c>
      <c r="D2578">
        <v>1900.65</v>
      </c>
      <c r="E2578" s="19">
        <v>45545</v>
      </c>
      <c r="F2578">
        <v>2062.4</v>
      </c>
      <c r="G2578" s="19">
        <v>45562</v>
      </c>
      <c r="H2578">
        <v>-8.5102464946202598</v>
      </c>
    </row>
    <row r="2579" spans="1:8" x14ac:dyDescent="0.25">
      <c r="A2579" t="s">
        <v>352</v>
      </c>
      <c r="B2579" t="s">
        <v>385</v>
      </c>
      <c r="C2579">
        <v>75</v>
      </c>
      <c r="D2579">
        <v>1771.05</v>
      </c>
      <c r="E2579" s="19">
        <v>45434</v>
      </c>
      <c r="F2579">
        <v>1925.65</v>
      </c>
      <c r="G2579" s="19">
        <v>45541</v>
      </c>
      <c r="H2579">
        <v>8.7292848874961262</v>
      </c>
    </row>
    <row r="2580" spans="1:8" x14ac:dyDescent="0.25">
      <c r="A2580" t="s">
        <v>352</v>
      </c>
      <c r="B2580" t="s">
        <v>383</v>
      </c>
      <c r="C2580">
        <v>149</v>
      </c>
      <c r="D2580">
        <v>1832</v>
      </c>
      <c r="E2580" s="19">
        <v>45211</v>
      </c>
      <c r="F2580">
        <v>1667.2</v>
      </c>
      <c r="G2580" s="19">
        <v>45430</v>
      </c>
      <c r="H2580">
        <v>8.9956331877729241</v>
      </c>
    </row>
    <row r="2581" spans="1:8" x14ac:dyDescent="0.25">
      <c r="A2581" t="s">
        <v>352</v>
      </c>
      <c r="B2581" t="s">
        <v>385</v>
      </c>
      <c r="C2581">
        <v>23</v>
      </c>
      <c r="D2581">
        <v>1918.35</v>
      </c>
      <c r="E2581" s="19">
        <v>45175</v>
      </c>
      <c r="F2581">
        <v>1828</v>
      </c>
      <c r="G2581" s="19">
        <v>45209</v>
      </c>
      <c r="H2581">
        <v>-4.709776630958892</v>
      </c>
    </row>
    <row r="2582" spans="1:8" x14ac:dyDescent="0.25">
      <c r="A2582" t="s">
        <v>352</v>
      </c>
      <c r="B2582" t="s">
        <v>383</v>
      </c>
      <c r="C2582">
        <v>11</v>
      </c>
      <c r="D2582">
        <v>1821</v>
      </c>
      <c r="E2582" s="19">
        <v>45159</v>
      </c>
      <c r="F2582">
        <v>1850.15</v>
      </c>
      <c r="G2582" s="19">
        <v>45173</v>
      </c>
      <c r="H2582">
        <v>-1.600768808347067</v>
      </c>
    </row>
    <row r="2583" spans="1:8" x14ac:dyDescent="0.25">
      <c r="A2583" t="s">
        <v>352</v>
      </c>
      <c r="B2583" t="s">
        <v>385</v>
      </c>
      <c r="C2583">
        <v>7</v>
      </c>
      <c r="D2583">
        <v>1875</v>
      </c>
      <c r="E2583" s="19">
        <v>45146</v>
      </c>
      <c r="F2583">
        <v>1817</v>
      </c>
      <c r="G2583" s="19">
        <v>45155</v>
      </c>
      <c r="H2583">
        <v>-3.0933333333333328</v>
      </c>
    </row>
    <row r="2584" spans="1:8" x14ac:dyDescent="0.25">
      <c r="A2584" t="s">
        <v>352</v>
      </c>
      <c r="B2584" t="s">
        <v>383</v>
      </c>
      <c r="C2584">
        <v>51</v>
      </c>
      <c r="D2584">
        <v>1774.65</v>
      </c>
      <c r="E2584" s="19">
        <v>45071</v>
      </c>
      <c r="F2584">
        <v>1859</v>
      </c>
      <c r="G2584" s="19">
        <v>45142</v>
      </c>
      <c r="H2584">
        <v>-4.7530498971628159</v>
      </c>
    </row>
    <row r="2585" spans="1:8" x14ac:dyDescent="0.25">
      <c r="A2585" t="s">
        <v>352</v>
      </c>
      <c r="B2585" t="s">
        <v>385</v>
      </c>
      <c r="C2585">
        <v>25</v>
      </c>
      <c r="D2585">
        <v>1967.75</v>
      </c>
      <c r="E2585" s="19">
        <v>45034</v>
      </c>
      <c r="F2585">
        <v>1793.3</v>
      </c>
      <c r="G2585" s="19">
        <v>45069</v>
      </c>
      <c r="H2585">
        <v>-8.8654554694448002</v>
      </c>
    </row>
    <row r="2586" spans="1:8" x14ac:dyDescent="0.25">
      <c r="A2586" t="s">
        <v>353</v>
      </c>
      <c r="B2586" t="s">
        <v>383</v>
      </c>
      <c r="C2586">
        <v>27</v>
      </c>
      <c r="D2586">
        <v>400</v>
      </c>
      <c r="E2586" s="19">
        <v>45623</v>
      </c>
      <c r="F2586">
        <v>400.6</v>
      </c>
      <c r="G2586" s="19">
        <v>45660</v>
      </c>
      <c r="H2586">
        <v>-0.15000000000000571</v>
      </c>
    </row>
    <row r="2587" spans="1:8" x14ac:dyDescent="0.25">
      <c r="A2587" t="s">
        <v>353</v>
      </c>
      <c r="B2587" t="s">
        <v>385</v>
      </c>
      <c r="C2587">
        <v>27</v>
      </c>
      <c r="D2587">
        <v>451.05</v>
      </c>
      <c r="E2587" s="19">
        <v>45581</v>
      </c>
      <c r="F2587">
        <v>397.8</v>
      </c>
      <c r="G2587" s="19">
        <v>45621</v>
      </c>
      <c r="H2587">
        <v>-11.80578649817093</v>
      </c>
    </row>
    <row r="2588" spans="1:8" x14ac:dyDescent="0.25">
      <c r="A2588" t="s">
        <v>353</v>
      </c>
      <c r="B2588" t="s">
        <v>383</v>
      </c>
      <c r="C2588">
        <v>25</v>
      </c>
      <c r="D2588">
        <v>400.4</v>
      </c>
      <c r="E2588" s="19">
        <v>45544</v>
      </c>
      <c r="F2588">
        <v>409</v>
      </c>
      <c r="G2588" s="19">
        <v>45579</v>
      </c>
      <c r="H2588">
        <v>-2.1478521478521539</v>
      </c>
    </row>
    <row r="2589" spans="1:8" x14ac:dyDescent="0.25">
      <c r="A2589" t="s">
        <v>353</v>
      </c>
      <c r="B2589" t="s">
        <v>385</v>
      </c>
      <c r="C2589">
        <v>71</v>
      </c>
      <c r="D2589">
        <v>319.75</v>
      </c>
      <c r="E2589" s="19">
        <v>45439</v>
      </c>
      <c r="F2589">
        <v>406</v>
      </c>
      <c r="G2589" s="19">
        <v>45540</v>
      </c>
      <c r="H2589">
        <v>26.974198592650509</v>
      </c>
    </row>
    <row r="2590" spans="1:8" x14ac:dyDescent="0.25">
      <c r="A2590" t="s">
        <v>353</v>
      </c>
      <c r="B2590" t="s">
        <v>383</v>
      </c>
      <c r="C2590">
        <v>11</v>
      </c>
      <c r="D2590">
        <v>282.39999999999998</v>
      </c>
      <c r="E2590" s="19">
        <v>45421</v>
      </c>
      <c r="F2590">
        <v>318.45</v>
      </c>
      <c r="G2590" s="19">
        <v>45435</v>
      </c>
      <c r="H2590">
        <v>-12.76558073654391</v>
      </c>
    </row>
    <row r="2591" spans="1:8" x14ac:dyDescent="0.25">
      <c r="A2591" t="s">
        <v>353</v>
      </c>
      <c r="B2591" t="s">
        <v>385</v>
      </c>
      <c r="C2591">
        <v>20</v>
      </c>
      <c r="D2591">
        <v>332.25</v>
      </c>
      <c r="E2591" s="19">
        <v>45387</v>
      </c>
      <c r="F2591">
        <v>301.95</v>
      </c>
      <c r="G2591" s="19">
        <v>45419</v>
      </c>
      <c r="H2591">
        <v>-9.1196388261851045</v>
      </c>
    </row>
    <row r="2592" spans="1:8" x14ac:dyDescent="0.25">
      <c r="A2592" t="s">
        <v>353</v>
      </c>
      <c r="B2592" t="s">
        <v>383</v>
      </c>
      <c r="C2592">
        <v>46</v>
      </c>
      <c r="D2592">
        <v>320.64999999999998</v>
      </c>
      <c r="E2592" s="19">
        <v>45320</v>
      </c>
      <c r="F2592">
        <v>330.85</v>
      </c>
      <c r="G2592" s="19">
        <v>45385</v>
      </c>
      <c r="H2592">
        <v>-3.181038515515374</v>
      </c>
    </row>
    <row r="2593" spans="1:8" x14ac:dyDescent="0.25">
      <c r="A2593" t="s">
        <v>353</v>
      </c>
      <c r="B2593" t="s">
        <v>385</v>
      </c>
      <c r="C2593">
        <v>24</v>
      </c>
      <c r="D2593">
        <v>349.15</v>
      </c>
      <c r="E2593" s="19">
        <v>45281</v>
      </c>
      <c r="F2593">
        <v>321.5</v>
      </c>
      <c r="G2593" s="19">
        <v>45315</v>
      </c>
      <c r="H2593">
        <v>-7.9192324215952974</v>
      </c>
    </row>
    <row r="2594" spans="1:8" x14ac:dyDescent="0.25">
      <c r="A2594" t="s">
        <v>353</v>
      </c>
      <c r="B2594" t="s">
        <v>383</v>
      </c>
      <c r="C2594">
        <v>58</v>
      </c>
      <c r="D2594">
        <v>327.10000000000002</v>
      </c>
      <c r="E2594" s="19">
        <v>45195</v>
      </c>
      <c r="F2594">
        <v>353.35</v>
      </c>
      <c r="G2594" s="19">
        <v>45279</v>
      </c>
      <c r="H2594">
        <v>-8.0250687863038817</v>
      </c>
    </row>
    <row r="2595" spans="1:8" x14ac:dyDescent="0.25">
      <c r="A2595" t="s">
        <v>353</v>
      </c>
      <c r="B2595" t="s">
        <v>385</v>
      </c>
      <c r="C2595">
        <v>5</v>
      </c>
      <c r="D2595">
        <v>344.85</v>
      </c>
      <c r="E2595" s="19">
        <v>45184</v>
      </c>
      <c r="F2595">
        <v>328.4</v>
      </c>
      <c r="G2595" s="19">
        <v>45191</v>
      </c>
      <c r="H2595">
        <v>-4.7701899376540648</v>
      </c>
    </row>
    <row r="2596" spans="1:8" x14ac:dyDescent="0.25">
      <c r="A2596" t="s">
        <v>353</v>
      </c>
      <c r="B2596" t="s">
        <v>383</v>
      </c>
      <c r="C2596">
        <v>20</v>
      </c>
      <c r="D2596">
        <v>323</v>
      </c>
      <c r="E2596" s="19">
        <v>45155</v>
      </c>
      <c r="F2596">
        <v>343.15</v>
      </c>
      <c r="G2596" s="19">
        <v>45182</v>
      </c>
      <c r="H2596">
        <v>-6.2383900928792499</v>
      </c>
    </row>
    <row r="2597" spans="1:8" x14ac:dyDescent="0.25">
      <c r="A2597" t="s">
        <v>353</v>
      </c>
      <c r="B2597" t="s">
        <v>385</v>
      </c>
      <c r="C2597">
        <v>46</v>
      </c>
      <c r="D2597">
        <v>368.2</v>
      </c>
      <c r="E2597" s="19">
        <v>45086</v>
      </c>
      <c r="F2597">
        <v>316.89999999999998</v>
      </c>
      <c r="G2597" s="19">
        <v>45152</v>
      </c>
      <c r="H2597">
        <v>-13.9326453014666</v>
      </c>
    </row>
    <row r="2598" spans="1:8" x14ac:dyDescent="0.25">
      <c r="A2598" t="s">
        <v>353</v>
      </c>
      <c r="B2598" t="s">
        <v>383</v>
      </c>
      <c r="C2598">
        <v>145</v>
      </c>
      <c r="D2598">
        <v>1778</v>
      </c>
      <c r="E2598" s="19">
        <v>44872</v>
      </c>
      <c r="F2598">
        <v>370.95</v>
      </c>
      <c r="G2598" s="19">
        <v>45084</v>
      </c>
      <c r="H2598">
        <v>79.136670416197973</v>
      </c>
    </row>
    <row r="2599" spans="1:8" x14ac:dyDescent="0.25">
      <c r="A2599" t="s">
        <v>354</v>
      </c>
      <c r="B2599" t="s">
        <v>385</v>
      </c>
      <c r="C2599">
        <v>3</v>
      </c>
      <c r="D2599">
        <v>1826.95</v>
      </c>
      <c r="E2599" s="19">
        <v>45658</v>
      </c>
      <c r="F2599">
        <v>1824.7</v>
      </c>
      <c r="G2599" s="19">
        <v>45660</v>
      </c>
      <c r="H2599">
        <v>-0.12315607980513971</v>
      </c>
    </row>
    <row r="2600" spans="1:8" x14ac:dyDescent="0.25">
      <c r="A2600" t="s">
        <v>354</v>
      </c>
      <c r="B2600" t="s">
        <v>383</v>
      </c>
      <c r="C2600">
        <v>3</v>
      </c>
      <c r="D2600">
        <v>1711.3</v>
      </c>
      <c r="E2600" s="19">
        <v>45652</v>
      </c>
      <c r="F2600">
        <v>1771</v>
      </c>
      <c r="G2600" s="19">
        <v>45656</v>
      </c>
      <c r="H2600">
        <v>-3.4885759364226052</v>
      </c>
    </row>
    <row r="2601" spans="1:8" x14ac:dyDescent="0.25">
      <c r="A2601" t="s">
        <v>354</v>
      </c>
      <c r="B2601" t="s">
        <v>385</v>
      </c>
      <c r="C2601">
        <v>6</v>
      </c>
      <c r="D2601">
        <v>1808.1</v>
      </c>
      <c r="E2601" s="19">
        <v>45642</v>
      </c>
      <c r="F2601">
        <v>1695.55</v>
      </c>
      <c r="G2601" s="19">
        <v>45649</v>
      </c>
      <c r="H2601">
        <v>-6.2247663292959432</v>
      </c>
    </row>
    <row r="2602" spans="1:8" x14ac:dyDescent="0.25">
      <c r="A2602" t="s">
        <v>354</v>
      </c>
      <c r="B2602" t="s">
        <v>383</v>
      </c>
      <c r="C2602">
        <v>26</v>
      </c>
      <c r="D2602">
        <v>1694.7</v>
      </c>
      <c r="E2602" s="19">
        <v>45601</v>
      </c>
      <c r="F2602">
        <v>1787.65</v>
      </c>
      <c r="G2602" s="19">
        <v>45638</v>
      </c>
      <c r="H2602">
        <v>-5.4847465628134797</v>
      </c>
    </row>
    <row r="2603" spans="1:8" x14ac:dyDescent="0.25">
      <c r="A2603" t="s">
        <v>354</v>
      </c>
      <c r="B2603" t="s">
        <v>385</v>
      </c>
      <c r="C2603">
        <v>223</v>
      </c>
      <c r="D2603">
        <v>851.25</v>
      </c>
      <c r="E2603" s="19">
        <v>45272</v>
      </c>
      <c r="F2603">
        <v>1642.85</v>
      </c>
      <c r="G2603" s="19">
        <v>45597</v>
      </c>
      <c r="H2603">
        <v>92.99265785609397</v>
      </c>
    </row>
    <row r="2604" spans="1:8" x14ac:dyDescent="0.25">
      <c r="A2604" t="s">
        <v>354</v>
      </c>
      <c r="B2604" t="s">
        <v>383</v>
      </c>
      <c r="C2604">
        <v>31</v>
      </c>
      <c r="D2604">
        <v>828.9</v>
      </c>
      <c r="E2604" s="19">
        <v>45225</v>
      </c>
      <c r="F2604">
        <v>855.45</v>
      </c>
      <c r="G2604" s="19">
        <v>45268</v>
      </c>
      <c r="H2604">
        <v>-3.2030401737242209</v>
      </c>
    </row>
    <row r="2605" spans="1:8" x14ac:dyDescent="0.25">
      <c r="A2605" t="s">
        <v>354</v>
      </c>
      <c r="B2605" t="s">
        <v>385</v>
      </c>
      <c r="C2605">
        <v>51</v>
      </c>
      <c r="D2605">
        <v>846</v>
      </c>
      <c r="E2605" s="19">
        <v>45147</v>
      </c>
      <c r="F2605">
        <v>821.3</v>
      </c>
      <c r="G2605" s="19">
        <v>45222</v>
      </c>
      <c r="H2605">
        <v>-2.9196217494089889</v>
      </c>
    </row>
    <row r="2606" spans="1:8" x14ac:dyDescent="0.25">
      <c r="A2606" t="s">
        <v>354</v>
      </c>
      <c r="B2606" t="s">
        <v>383</v>
      </c>
      <c r="C2606">
        <v>87</v>
      </c>
      <c r="D2606">
        <v>816.55</v>
      </c>
      <c r="E2606" s="19">
        <v>45016</v>
      </c>
      <c r="F2606">
        <v>823</v>
      </c>
      <c r="G2606" s="19">
        <v>45145</v>
      </c>
      <c r="H2606">
        <v>-0.78990876247627773</v>
      </c>
    </row>
    <row r="2607" spans="1:8" x14ac:dyDescent="0.25">
      <c r="A2607" t="s">
        <v>355</v>
      </c>
      <c r="B2607" t="s">
        <v>383</v>
      </c>
      <c r="C2607">
        <v>63</v>
      </c>
      <c r="D2607">
        <v>358.8</v>
      </c>
      <c r="E2607" s="19">
        <v>45569</v>
      </c>
      <c r="F2607">
        <v>340.5</v>
      </c>
      <c r="G2607" s="19">
        <v>45660</v>
      </c>
      <c r="H2607">
        <v>5.1003344481605382</v>
      </c>
    </row>
    <row r="2608" spans="1:8" x14ac:dyDescent="0.25">
      <c r="A2608" t="s">
        <v>355</v>
      </c>
      <c r="B2608" t="s">
        <v>385</v>
      </c>
      <c r="C2608">
        <v>193</v>
      </c>
      <c r="D2608">
        <v>309</v>
      </c>
      <c r="E2608" s="19">
        <v>45282</v>
      </c>
      <c r="F2608">
        <v>374</v>
      </c>
      <c r="G2608" s="19">
        <v>45566</v>
      </c>
      <c r="H2608">
        <v>21.03559870550162</v>
      </c>
    </row>
    <row r="2609" spans="1:8" x14ac:dyDescent="0.25">
      <c r="A2609" t="s">
        <v>355</v>
      </c>
      <c r="B2609" t="s">
        <v>383</v>
      </c>
      <c r="C2609">
        <v>57</v>
      </c>
      <c r="D2609">
        <v>310.55</v>
      </c>
      <c r="E2609" s="19">
        <v>45197</v>
      </c>
      <c r="F2609">
        <v>305.18</v>
      </c>
      <c r="G2609" s="19">
        <v>45280</v>
      </c>
      <c r="H2609">
        <v>1.7291901465142501</v>
      </c>
    </row>
    <row r="2610" spans="1:8" x14ac:dyDescent="0.25">
      <c r="A2610" t="s">
        <v>355</v>
      </c>
      <c r="B2610" t="s">
        <v>385</v>
      </c>
      <c r="C2610">
        <v>17</v>
      </c>
      <c r="D2610">
        <v>332.04</v>
      </c>
      <c r="E2610" s="19">
        <v>45170</v>
      </c>
      <c r="F2610">
        <v>316.85000000000002</v>
      </c>
      <c r="G2610" s="19">
        <v>45195</v>
      </c>
      <c r="H2610">
        <v>-4.574750030116852</v>
      </c>
    </row>
    <row r="2611" spans="1:8" x14ac:dyDescent="0.25">
      <c r="A2611" t="s">
        <v>355</v>
      </c>
      <c r="B2611" t="s">
        <v>383</v>
      </c>
      <c r="C2611">
        <v>5</v>
      </c>
      <c r="D2611">
        <v>319.08999999999997</v>
      </c>
      <c r="E2611" s="19">
        <v>45162</v>
      </c>
      <c r="F2611">
        <v>332.26</v>
      </c>
      <c r="G2611" s="19">
        <v>45168</v>
      </c>
      <c r="H2611">
        <v>-4.1273621862170602</v>
      </c>
    </row>
    <row r="2612" spans="1:8" x14ac:dyDescent="0.25">
      <c r="A2612" t="s">
        <v>355</v>
      </c>
      <c r="B2612" t="s">
        <v>385</v>
      </c>
      <c r="C2612">
        <v>94</v>
      </c>
      <c r="D2612">
        <v>297.73</v>
      </c>
      <c r="E2612" s="19">
        <v>45022</v>
      </c>
      <c r="F2612">
        <v>318.18</v>
      </c>
      <c r="G2612" s="19">
        <v>45160</v>
      </c>
      <c r="H2612">
        <v>6.8686393712423968</v>
      </c>
    </row>
    <row r="2613" spans="1:8" x14ac:dyDescent="0.25">
      <c r="A2613" t="s">
        <v>356</v>
      </c>
      <c r="B2613" t="s">
        <v>385</v>
      </c>
      <c r="C2613">
        <v>16</v>
      </c>
      <c r="D2613">
        <v>169.37</v>
      </c>
      <c r="E2613" s="19">
        <v>45638</v>
      </c>
      <c r="F2613">
        <v>163.49</v>
      </c>
      <c r="G2613" s="19">
        <v>45660</v>
      </c>
      <c r="H2613">
        <v>-3.4716892011572269</v>
      </c>
    </row>
    <row r="2614" spans="1:8" x14ac:dyDescent="0.25">
      <c r="A2614" t="s">
        <v>356</v>
      </c>
      <c r="B2614" t="s">
        <v>383</v>
      </c>
      <c r="C2614">
        <v>50</v>
      </c>
      <c r="D2614">
        <v>165.51</v>
      </c>
      <c r="E2614" s="19">
        <v>45562</v>
      </c>
      <c r="F2614">
        <v>172.7</v>
      </c>
      <c r="G2614" s="19">
        <v>45636</v>
      </c>
      <c r="H2614">
        <v>-4.3441483898253868</v>
      </c>
    </row>
    <row r="2615" spans="1:8" x14ac:dyDescent="0.25">
      <c r="A2615" t="s">
        <v>356</v>
      </c>
      <c r="B2615" t="s">
        <v>385</v>
      </c>
      <c r="C2615">
        <v>62</v>
      </c>
      <c r="D2615">
        <v>153.66</v>
      </c>
      <c r="E2615" s="19">
        <v>45471</v>
      </c>
      <c r="F2615">
        <v>168.56</v>
      </c>
      <c r="G2615" s="19">
        <v>45560</v>
      </c>
      <c r="H2615">
        <v>9.6967330469868571</v>
      </c>
    </row>
    <row r="2616" spans="1:8" x14ac:dyDescent="0.25">
      <c r="A2616" t="s">
        <v>356</v>
      </c>
      <c r="B2616" t="s">
        <v>383</v>
      </c>
      <c r="C2616">
        <v>35</v>
      </c>
      <c r="D2616">
        <v>141.55000000000001</v>
      </c>
      <c r="E2616" s="19">
        <v>45420</v>
      </c>
      <c r="F2616">
        <v>150.47</v>
      </c>
      <c r="G2616" s="19">
        <v>45469</v>
      </c>
      <c r="H2616">
        <v>-6.3016601907453103</v>
      </c>
    </row>
    <row r="2617" spans="1:8" x14ac:dyDescent="0.25">
      <c r="A2617" t="s">
        <v>356</v>
      </c>
      <c r="B2617" t="s">
        <v>385</v>
      </c>
      <c r="C2617">
        <v>8</v>
      </c>
      <c r="D2617">
        <v>159.4</v>
      </c>
      <c r="E2617" s="19">
        <v>45406</v>
      </c>
      <c r="F2617">
        <v>149.80000000000001</v>
      </c>
      <c r="G2617" s="19">
        <v>45418</v>
      </c>
      <c r="H2617">
        <v>-6.0225846925972357</v>
      </c>
    </row>
    <row r="2618" spans="1:8" x14ac:dyDescent="0.25">
      <c r="A2618" t="s">
        <v>356</v>
      </c>
      <c r="B2618" t="s">
        <v>383</v>
      </c>
      <c r="C2618">
        <v>1</v>
      </c>
      <c r="D2618">
        <v>148.9</v>
      </c>
      <c r="E2618" s="19">
        <v>45404</v>
      </c>
      <c r="F2618">
        <v>148.9</v>
      </c>
      <c r="G2618" s="19">
        <v>45404</v>
      </c>
      <c r="H2618">
        <v>0</v>
      </c>
    </row>
    <row r="2619" spans="1:8" x14ac:dyDescent="0.25">
      <c r="A2619" t="s">
        <v>356</v>
      </c>
      <c r="B2619" t="s">
        <v>385</v>
      </c>
      <c r="C2619">
        <v>4</v>
      </c>
      <c r="D2619">
        <v>151.44999999999999</v>
      </c>
      <c r="E2619" s="19">
        <v>45394</v>
      </c>
      <c r="F2619">
        <v>147.19999999999999</v>
      </c>
      <c r="G2619" s="19">
        <v>45400</v>
      </c>
      <c r="H2619">
        <v>-2.8062066688676128</v>
      </c>
    </row>
    <row r="2620" spans="1:8" x14ac:dyDescent="0.25">
      <c r="A2620" t="s">
        <v>356</v>
      </c>
      <c r="B2620" t="s">
        <v>383</v>
      </c>
      <c r="C2620">
        <v>17</v>
      </c>
      <c r="D2620">
        <v>147.5</v>
      </c>
      <c r="E2620" s="19">
        <v>45365</v>
      </c>
      <c r="F2620">
        <v>154.25</v>
      </c>
      <c r="G2620" s="19">
        <v>45391</v>
      </c>
      <c r="H2620">
        <v>-4.5762711864406782</v>
      </c>
    </row>
    <row r="2621" spans="1:8" x14ac:dyDescent="0.25">
      <c r="A2621" t="s">
        <v>356</v>
      </c>
      <c r="B2621" t="s">
        <v>385</v>
      </c>
      <c r="C2621">
        <v>28</v>
      </c>
      <c r="D2621">
        <v>156.25</v>
      </c>
      <c r="E2621" s="19">
        <v>45324</v>
      </c>
      <c r="F2621">
        <v>148.15</v>
      </c>
      <c r="G2621" s="19">
        <v>45363</v>
      </c>
      <c r="H2621">
        <v>-5.1839999999999966</v>
      </c>
    </row>
    <row r="2622" spans="1:8" x14ac:dyDescent="0.25">
      <c r="A2622" t="s">
        <v>356</v>
      </c>
      <c r="B2622" t="s">
        <v>383</v>
      </c>
      <c r="C2622">
        <v>4</v>
      </c>
      <c r="D2622">
        <v>137.4</v>
      </c>
      <c r="E2622" s="19">
        <v>45316</v>
      </c>
      <c r="F2622">
        <v>163.80000000000001</v>
      </c>
      <c r="G2622" s="19">
        <v>45322</v>
      </c>
      <c r="H2622">
        <v>-19.213973799126641</v>
      </c>
    </row>
    <row r="2623" spans="1:8" x14ac:dyDescent="0.25">
      <c r="A2623" t="s">
        <v>356</v>
      </c>
      <c r="B2623" t="s">
        <v>385</v>
      </c>
      <c r="C2623">
        <v>195</v>
      </c>
      <c r="D2623">
        <v>81.150000000000006</v>
      </c>
      <c r="E2623" s="19">
        <v>45029</v>
      </c>
      <c r="F2623">
        <v>142.35</v>
      </c>
      <c r="G2623" s="19">
        <v>45314</v>
      </c>
      <c r="H2623">
        <v>75.415896487985194</v>
      </c>
    </row>
    <row r="2624" spans="1:8" x14ac:dyDescent="0.25">
      <c r="A2624" t="s">
        <v>357</v>
      </c>
      <c r="B2624" t="s">
        <v>385</v>
      </c>
      <c r="C2624">
        <v>55</v>
      </c>
      <c r="D2624">
        <v>15330.2</v>
      </c>
      <c r="E2624" s="19">
        <v>45581</v>
      </c>
      <c r="F2624">
        <v>16383.5</v>
      </c>
      <c r="G2624" s="19">
        <v>45660</v>
      </c>
      <c r="H2624">
        <v>6.8707518492909374</v>
      </c>
    </row>
    <row r="2625" spans="1:8" x14ac:dyDescent="0.25">
      <c r="A2625" t="s">
        <v>357</v>
      </c>
      <c r="B2625" t="s">
        <v>383</v>
      </c>
      <c r="C2625">
        <v>36</v>
      </c>
      <c r="D2625">
        <v>14881.8</v>
      </c>
      <c r="E2625" s="19">
        <v>45527</v>
      </c>
      <c r="F2625">
        <v>15729.7</v>
      </c>
      <c r="G2625" s="19">
        <v>45579</v>
      </c>
      <c r="H2625">
        <v>-5.697563466784942</v>
      </c>
    </row>
    <row r="2626" spans="1:8" x14ac:dyDescent="0.25">
      <c r="A2626" t="s">
        <v>357</v>
      </c>
      <c r="B2626" t="s">
        <v>385</v>
      </c>
      <c r="C2626">
        <v>78</v>
      </c>
      <c r="D2626">
        <v>14096.95</v>
      </c>
      <c r="E2626" s="19">
        <v>45412</v>
      </c>
      <c r="F2626">
        <v>14930.5</v>
      </c>
      <c r="G2626" s="19">
        <v>45525</v>
      </c>
      <c r="H2626">
        <v>5.9129811767793683</v>
      </c>
    </row>
    <row r="2627" spans="1:8" x14ac:dyDescent="0.25">
      <c r="A2627" t="s">
        <v>357</v>
      </c>
      <c r="B2627" t="s">
        <v>383</v>
      </c>
      <c r="C2627">
        <v>61</v>
      </c>
      <c r="D2627">
        <v>13056</v>
      </c>
      <c r="E2627" s="19">
        <v>45320</v>
      </c>
      <c r="F2627">
        <v>13080.95</v>
      </c>
      <c r="G2627" s="19">
        <v>45408</v>
      </c>
      <c r="H2627">
        <v>-0.19109987745098589</v>
      </c>
    </row>
    <row r="2628" spans="1:8" x14ac:dyDescent="0.25">
      <c r="A2628" t="s">
        <v>357</v>
      </c>
      <c r="B2628" t="s">
        <v>385</v>
      </c>
      <c r="C2628">
        <v>39</v>
      </c>
      <c r="D2628">
        <v>13954.3</v>
      </c>
      <c r="E2628" s="19">
        <v>45260</v>
      </c>
      <c r="F2628">
        <v>12989.95</v>
      </c>
      <c r="G2628" s="19">
        <v>45315</v>
      </c>
      <c r="H2628">
        <v>-6.9107730233691296</v>
      </c>
    </row>
    <row r="2629" spans="1:8" x14ac:dyDescent="0.25">
      <c r="A2629" t="s">
        <v>357</v>
      </c>
      <c r="B2629" t="s">
        <v>383</v>
      </c>
      <c r="C2629">
        <v>19</v>
      </c>
      <c r="D2629">
        <v>12385</v>
      </c>
      <c r="E2629" s="19">
        <v>45231</v>
      </c>
      <c r="F2629">
        <v>14350</v>
      </c>
      <c r="G2629" s="19">
        <v>45258</v>
      </c>
      <c r="H2629">
        <v>-15.86596689543803</v>
      </c>
    </row>
    <row r="2630" spans="1:8" x14ac:dyDescent="0.25">
      <c r="A2630" t="s">
        <v>357</v>
      </c>
      <c r="B2630" t="s">
        <v>385</v>
      </c>
      <c r="C2630">
        <v>188</v>
      </c>
      <c r="D2630">
        <v>8395.75</v>
      </c>
      <c r="E2630" s="19">
        <v>44950</v>
      </c>
      <c r="F2630">
        <v>12380.55</v>
      </c>
      <c r="G2630" s="19">
        <v>45229</v>
      </c>
      <c r="H2630">
        <v>47.462108805050171</v>
      </c>
    </row>
    <row r="2631" spans="1:8" x14ac:dyDescent="0.25">
      <c r="A2631" t="s">
        <v>358</v>
      </c>
      <c r="B2631" t="s">
        <v>383</v>
      </c>
      <c r="C2631">
        <v>8</v>
      </c>
      <c r="D2631">
        <v>561.54999999999995</v>
      </c>
      <c r="E2631" s="19">
        <v>45650</v>
      </c>
      <c r="F2631">
        <v>561.45000000000005</v>
      </c>
      <c r="G2631" s="19">
        <v>45660</v>
      </c>
      <c r="H2631">
        <v>1.7807853263272919E-2</v>
      </c>
    </row>
    <row r="2632" spans="1:8" x14ac:dyDescent="0.25">
      <c r="A2632" t="s">
        <v>358</v>
      </c>
      <c r="B2632" t="s">
        <v>385</v>
      </c>
      <c r="C2632">
        <v>10</v>
      </c>
      <c r="D2632">
        <v>615.79999999999995</v>
      </c>
      <c r="E2632" s="19">
        <v>45635</v>
      </c>
      <c r="F2632">
        <v>555.95000000000005</v>
      </c>
      <c r="G2632" s="19">
        <v>45646</v>
      </c>
      <c r="H2632">
        <v>-9.7190646313738078</v>
      </c>
    </row>
    <row r="2633" spans="1:8" x14ac:dyDescent="0.25">
      <c r="A2633" t="s">
        <v>358</v>
      </c>
      <c r="B2633" t="s">
        <v>383</v>
      </c>
      <c r="C2633">
        <v>89</v>
      </c>
      <c r="D2633">
        <v>631.65</v>
      </c>
      <c r="E2633" s="19">
        <v>45503</v>
      </c>
      <c r="F2633">
        <v>622.65</v>
      </c>
      <c r="G2633" s="19">
        <v>45631</v>
      </c>
      <c r="H2633">
        <v>1.424839705533127</v>
      </c>
    </row>
    <row r="2634" spans="1:8" x14ac:dyDescent="0.25">
      <c r="A2634" t="s">
        <v>358</v>
      </c>
      <c r="B2634" t="s">
        <v>385</v>
      </c>
      <c r="C2634">
        <v>27</v>
      </c>
      <c r="D2634">
        <v>682</v>
      </c>
      <c r="E2634" s="19">
        <v>45462</v>
      </c>
      <c r="F2634">
        <v>622.5</v>
      </c>
      <c r="G2634" s="19">
        <v>45499</v>
      </c>
      <c r="H2634">
        <v>-8.7243401759530794</v>
      </c>
    </row>
    <row r="2635" spans="1:8" x14ac:dyDescent="0.25">
      <c r="A2635" t="s">
        <v>358</v>
      </c>
      <c r="B2635" t="s">
        <v>383</v>
      </c>
      <c r="C2635">
        <v>13</v>
      </c>
      <c r="D2635">
        <v>598.75</v>
      </c>
      <c r="E2635" s="19">
        <v>45441</v>
      </c>
      <c r="F2635">
        <v>677.75</v>
      </c>
      <c r="G2635" s="19">
        <v>45457</v>
      </c>
      <c r="H2635">
        <v>-13.194154488517739</v>
      </c>
    </row>
    <row r="2636" spans="1:8" x14ac:dyDescent="0.25">
      <c r="A2636" t="s">
        <v>358</v>
      </c>
      <c r="B2636" t="s">
        <v>385</v>
      </c>
      <c r="C2636">
        <v>15</v>
      </c>
      <c r="D2636">
        <v>650.1</v>
      </c>
      <c r="E2636" s="19">
        <v>45419</v>
      </c>
      <c r="F2636">
        <v>616.5</v>
      </c>
      <c r="G2636" s="19">
        <v>45439</v>
      </c>
      <c r="H2636">
        <v>-5.1684356252884207</v>
      </c>
    </row>
    <row r="2637" spans="1:8" x14ac:dyDescent="0.25">
      <c r="A2637" t="s">
        <v>358</v>
      </c>
      <c r="B2637" t="s">
        <v>383</v>
      </c>
      <c r="C2637">
        <v>53</v>
      </c>
      <c r="D2637">
        <v>622.70000000000005</v>
      </c>
      <c r="E2637" s="19">
        <v>45336</v>
      </c>
      <c r="F2637">
        <v>683.45</v>
      </c>
      <c r="G2637" s="19">
        <v>45415</v>
      </c>
      <c r="H2637">
        <v>-9.7559017183234307</v>
      </c>
    </row>
    <row r="2638" spans="1:8" x14ac:dyDescent="0.25">
      <c r="A2638" t="s">
        <v>358</v>
      </c>
      <c r="B2638" t="s">
        <v>385</v>
      </c>
      <c r="C2638">
        <v>35</v>
      </c>
      <c r="D2638">
        <v>727.15</v>
      </c>
      <c r="E2638" s="19">
        <v>45282</v>
      </c>
      <c r="F2638">
        <v>649.25</v>
      </c>
      <c r="G2638" s="19">
        <v>45334</v>
      </c>
      <c r="H2638">
        <v>-10.71305782850856</v>
      </c>
    </row>
    <row r="2639" spans="1:8" x14ac:dyDescent="0.25">
      <c r="A2639" t="s">
        <v>358</v>
      </c>
      <c r="B2639" t="s">
        <v>383</v>
      </c>
      <c r="C2639">
        <v>13</v>
      </c>
      <c r="D2639">
        <v>653.45000000000005</v>
      </c>
      <c r="E2639" s="19">
        <v>45264</v>
      </c>
      <c r="F2639">
        <v>724.45</v>
      </c>
      <c r="G2639" s="19">
        <v>45280</v>
      </c>
      <c r="H2639">
        <v>-10.8654066875813</v>
      </c>
    </row>
    <row r="2640" spans="1:8" x14ac:dyDescent="0.25">
      <c r="A2640" t="s">
        <v>358</v>
      </c>
      <c r="B2640" t="s">
        <v>385</v>
      </c>
      <c r="C2640">
        <v>71</v>
      </c>
      <c r="D2640">
        <v>568.75</v>
      </c>
      <c r="E2640" s="19">
        <v>45156</v>
      </c>
      <c r="F2640">
        <v>651.25</v>
      </c>
      <c r="G2640" s="19">
        <v>45260</v>
      </c>
      <c r="H2640">
        <v>14.505494505494511</v>
      </c>
    </row>
    <row r="2641" spans="1:8" x14ac:dyDescent="0.25">
      <c r="A2641" t="s">
        <v>358</v>
      </c>
      <c r="B2641" t="s">
        <v>383</v>
      </c>
      <c r="C2641">
        <v>50</v>
      </c>
      <c r="D2641">
        <v>517.25</v>
      </c>
      <c r="E2641" s="19">
        <v>45083</v>
      </c>
      <c r="F2641">
        <v>556</v>
      </c>
      <c r="G2641" s="19">
        <v>45154</v>
      </c>
      <c r="H2641">
        <v>-7.4915418076365397</v>
      </c>
    </row>
    <row r="2642" spans="1:8" x14ac:dyDescent="0.25">
      <c r="A2642" t="s">
        <v>358</v>
      </c>
      <c r="B2642" t="s">
        <v>385</v>
      </c>
      <c r="C2642">
        <v>40</v>
      </c>
      <c r="D2642">
        <v>546.04999999999995</v>
      </c>
      <c r="E2642" s="19">
        <v>45021</v>
      </c>
      <c r="F2642">
        <v>519.70000000000005</v>
      </c>
      <c r="G2642" s="19">
        <v>45079</v>
      </c>
      <c r="H2642">
        <v>-4.8255654244116677</v>
      </c>
    </row>
    <row r="2643" spans="1:8" x14ac:dyDescent="0.25">
      <c r="A2643" t="s">
        <v>359</v>
      </c>
      <c r="B2643" t="s">
        <v>385</v>
      </c>
      <c r="C2643">
        <v>35</v>
      </c>
      <c r="D2643">
        <v>1095.45</v>
      </c>
      <c r="E2643" s="19">
        <v>45609</v>
      </c>
      <c r="F2643">
        <v>1524.5</v>
      </c>
      <c r="G2643" s="19">
        <v>45660</v>
      </c>
      <c r="H2643">
        <v>39.166552558309363</v>
      </c>
    </row>
    <row r="2644" spans="1:8" x14ac:dyDescent="0.25">
      <c r="A2644" t="s">
        <v>359</v>
      </c>
      <c r="B2644" t="s">
        <v>383</v>
      </c>
      <c r="C2644">
        <v>11</v>
      </c>
      <c r="D2644">
        <v>1036.8499999999999</v>
      </c>
      <c r="E2644" s="19">
        <v>45593</v>
      </c>
      <c r="F2644">
        <v>1153</v>
      </c>
      <c r="G2644" s="19">
        <v>45607</v>
      </c>
      <c r="H2644">
        <v>-11.202198968028171</v>
      </c>
    </row>
    <row r="2645" spans="1:8" x14ac:dyDescent="0.25">
      <c r="A2645" t="s">
        <v>359</v>
      </c>
      <c r="B2645" t="s">
        <v>385</v>
      </c>
      <c r="C2645">
        <v>3</v>
      </c>
      <c r="D2645">
        <v>1113.7</v>
      </c>
      <c r="E2645" s="19">
        <v>45587</v>
      </c>
      <c r="F2645">
        <v>1080.8</v>
      </c>
      <c r="G2645" s="19">
        <v>45589</v>
      </c>
      <c r="H2645">
        <v>-2.9541169076052878</v>
      </c>
    </row>
    <row r="2646" spans="1:8" x14ac:dyDescent="0.25">
      <c r="A2646" t="s">
        <v>359</v>
      </c>
      <c r="B2646" t="s">
        <v>383</v>
      </c>
      <c r="C2646">
        <v>4</v>
      </c>
      <c r="D2646">
        <v>1133.75</v>
      </c>
      <c r="E2646" s="19">
        <v>45580</v>
      </c>
      <c r="F2646">
        <v>1160.6500000000001</v>
      </c>
      <c r="G2646" s="19">
        <v>45583</v>
      </c>
      <c r="H2646">
        <v>-2.3726571113561268</v>
      </c>
    </row>
    <row r="2647" spans="1:8" x14ac:dyDescent="0.25">
      <c r="A2647" t="s">
        <v>359</v>
      </c>
      <c r="B2647" t="s">
        <v>385</v>
      </c>
      <c r="C2647">
        <v>43</v>
      </c>
      <c r="D2647">
        <v>1060.4000000000001</v>
      </c>
      <c r="E2647" s="19">
        <v>45516</v>
      </c>
      <c r="F2647">
        <v>1098.95</v>
      </c>
      <c r="G2647" s="19">
        <v>45576</v>
      </c>
      <c r="H2647">
        <v>3.635420596001504</v>
      </c>
    </row>
    <row r="2648" spans="1:8" x14ac:dyDescent="0.25">
      <c r="A2648" t="s">
        <v>359</v>
      </c>
      <c r="B2648" t="s">
        <v>383</v>
      </c>
      <c r="C2648">
        <v>97</v>
      </c>
      <c r="D2648">
        <v>1070.1500000000001</v>
      </c>
      <c r="E2648" s="19">
        <v>45369</v>
      </c>
      <c r="F2648">
        <v>1045.3</v>
      </c>
      <c r="G2648" s="19">
        <v>45512</v>
      </c>
      <c r="H2648">
        <v>2.322104377890962</v>
      </c>
    </row>
    <row r="2649" spans="1:8" x14ac:dyDescent="0.25">
      <c r="A2649" t="s">
        <v>359</v>
      </c>
      <c r="B2649" t="s">
        <v>385</v>
      </c>
      <c r="C2649">
        <v>62</v>
      </c>
      <c r="D2649">
        <v>1183.3</v>
      </c>
      <c r="E2649" s="19">
        <v>45278</v>
      </c>
      <c r="F2649">
        <v>1091.7</v>
      </c>
      <c r="G2649" s="19">
        <v>45365</v>
      </c>
      <c r="H2649">
        <v>-7.7410631285388254</v>
      </c>
    </row>
    <row r="2650" spans="1:8" x14ac:dyDescent="0.25">
      <c r="A2650" t="s">
        <v>359</v>
      </c>
      <c r="B2650" t="s">
        <v>383</v>
      </c>
      <c r="C2650">
        <v>24</v>
      </c>
      <c r="D2650">
        <v>881.85</v>
      </c>
      <c r="E2650" s="19">
        <v>45240</v>
      </c>
      <c r="F2650">
        <v>1039.1500000000001</v>
      </c>
      <c r="G2650" s="19">
        <v>45274</v>
      </c>
      <c r="H2650">
        <v>-17.83750070873732</v>
      </c>
    </row>
    <row r="2651" spans="1:8" x14ac:dyDescent="0.25">
      <c r="A2651" t="s">
        <v>359</v>
      </c>
      <c r="B2651" t="s">
        <v>385</v>
      </c>
      <c r="C2651">
        <v>154</v>
      </c>
      <c r="D2651">
        <v>676.05</v>
      </c>
      <c r="E2651" s="19">
        <v>45009</v>
      </c>
      <c r="F2651">
        <v>905.2</v>
      </c>
      <c r="G2651" s="19">
        <v>45238</v>
      </c>
      <c r="H2651">
        <v>33.895421936247331</v>
      </c>
    </row>
    <row r="2652" spans="1:8" x14ac:dyDescent="0.25">
      <c r="A2652" t="s">
        <v>360</v>
      </c>
      <c r="B2652" t="s">
        <v>385</v>
      </c>
      <c r="C2652">
        <v>12</v>
      </c>
      <c r="D2652">
        <v>2054.0500000000002</v>
      </c>
      <c r="E2652" s="19">
        <v>45644</v>
      </c>
      <c r="F2652">
        <v>2120.6</v>
      </c>
      <c r="G2652" s="19">
        <v>45660</v>
      </c>
      <c r="H2652">
        <v>3.2399406051459181</v>
      </c>
    </row>
    <row r="2653" spans="1:8" x14ac:dyDescent="0.25">
      <c r="A2653" t="s">
        <v>360</v>
      </c>
      <c r="B2653" t="s">
        <v>383</v>
      </c>
      <c r="C2653">
        <v>36</v>
      </c>
      <c r="D2653">
        <v>1879.05</v>
      </c>
      <c r="E2653" s="19">
        <v>45589</v>
      </c>
      <c r="F2653">
        <v>2089.5500000000002</v>
      </c>
      <c r="G2653" s="19">
        <v>45642</v>
      </c>
      <c r="H2653">
        <v>-11.202469332907601</v>
      </c>
    </row>
    <row r="2654" spans="1:8" x14ac:dyDescent="0.25">
      <c r="A2654" t="s">
        <v>360</v>
      </c>
      <c r="B2654" t="s">
        <v>385</v>
      </c>
      <c r="C2654">
        <v>39</v>
      </c>
      <c r="D2654">
        <v>2066.25</v>
      </c>
      <c r="E2654" s="19">
        <v>45532</v>
      </c>
      <c r="F2654">
        <v>1855.05</v>
      </c>
      <c r="G2654" s="19">
        <v>45587</v>
      </c>
      <c r="H2654">
        <v>-10.221415607985479</v>
      </c>
    </row>
    <row r="2655" spans="1:8" x14ac:dyDescent="0.25">
      <c r="A2655" t="s">
        <v>360</v>
      </c>
      <c r="B2655" t="s">
        <v>383</v>
      </c>
      <c r="C2655">
        <v>14</v>
      </c>
      <c r="D2655">
        <v>1713.3</v>
      </c>
      <c r="E2655" s="19">
        <v>45510</v>
      </c>
      <c r="F2655">
        <v>1927.6</v>
      </c>
      <c r="G2655" s="19">
        <v>45530</v>
      </c>
      <c r="H2655">
        <v>-12.50802544796591</v>
      </c>
    </row>
    <row r="2656" spans="1:8" x14ac:dyDescent="0.25">
      <c r="A2656" t="s">
        <v>360</v>
      </c>
      <c r="B2656" t="s">
        <v>385</v>
      </c>
      <c r="C2656">
        <v>31</v>
      </c>
      <c r="D2656">
        <v>1914.9</v>
      </c>
      <c r="E2656" s="19">
        <v>45463</v>
      </c>
      <c r="F2656">
        <v>1732.5</v>
      </c>
      <c r="G2656" s="19">
        <v>45506</v>
      </c>
      <c r="H2656">
        <v>-9.5253015823280638</v>
      </c>
    </row>
    <row r="2657" spans="1:8" x14ac:dyDescent="0.25">
      <c r="A2657" t="s">
        <v>360</v>
      </c>
      <c r="B2657" t="s">
        <v>383</v>
      </c>
      <c r="C2657">
        <v>9</v>
      </c>
      <c r="D2657">
        <v>1724.6</v>
      </c>
      <c r="E2657" s="19">
        <v>45448</v>
      </c>
      <c r="F2657">
        <v>1899.45</v>
      </c>
      <c r="G2657" s="19">
        <v>45461</v>
      </c>
      <c r="H2657">
        <v>-10.13858285979358</v>
      </c>
    </row>
    <row r="2658" spans="1:8" x14ac:dyDescent="0.25">
      <c r="A2658" t="s">
        <v>361</v>
      </c>
      <c r="B2658" t="s">
        <v>383</v>
      </c>
      <c r="C2658">
        <v>82</v>
      </c>
      <c r="D2658">
        <v>1100</v>
      </c>
      <c r="E2658" s="19">
        <v>45541</v>
      </c>
      <c r="F2658">
        <v>975.8</v>
      </c>
      <c r="G2658" s="19">
        <v>45660</v>
      </c>
      <c r="H2658">
        <v>11.290909090909089</v>
      </c>
    </row>
    <row r="2659" spans="1:8" x14ac:dyDescent="0.25">
      <c r="A2659" t="s">
        <v>361</v>
      </c>
      <c r="B2659" t="s">
        <v>385</v>
      </c>
      <c r="C2659">
        <v>198</v>
      </c>
      <c r="D2659">
        <v>636.54999999999995</v>
      </c>
      <c r="E2659" s="19">
        <v>45247</v>
      </c>
      <c r="F2659">
        <v>1127.9000000000001</v>
      </c>
      <c r="G2659" s="19">
        <v>45539</v>
      </c>
      <c r="H2659">
        <v>77.18953734977616</v>
      </c>
    </row>
    <row r="2660" spans="1:8" x14ac:dyDescent="0.25">
      <c r="A2660" t="s">
        <v>361</v>
      </c>
      <c r="B2660" t="s">
        <v>383</v>
      </c>
      <c r="C2660">
        <v>30</v>
      </c>
      <c r="D2660">
        <v>605.1</v>
      </c>
      <c r="E2660" s="19">
        <v>45203</v>
      </c>
      <c r="F2660">
        <v>621.15</v>
      </c>
      <c r="G2660" s="19">
        <v>45245</v>
      </c>
      <c r="H2660">
        <v>-2.6524541398115939</v>
      </c>
    </row>
    <row r="2661" spans="1:8" x14ac:dyDescent="0.25">
      <c r="A2661" t="s">
        <v>361</v>
      </c>
      <c r="B2661" t="s">
        <v>385</v>
      </c>
      <c r="C2661">
        <v>246</v>
      </c>
      <c r="D2661">
        <v>419.9</v>
      </c>
      <c r="E2661" s="19">
        <v>44838</v>
      </c>
      <c r="F2661">
        <v>615</v>
      </c>
      <c r="G2661" s="19">
        <v>45198</v>
      </c>
      <c r="H2661">
        <v>46.463443677065968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AVS-2024</vt:lpstr>
      <vt:lpstr>indicators</vt:lpstr>
      <vt:lpstr>backtrace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Saini</cp:lastModifiedBy>
  <dcterms:created xsi:type="dcterms:W3CDTF">2024-12-20T11:54:36Z</dcterms:created>
  <dcterms:modified xsi:type="dcterms:W3CDTF">2025-03-02T14:11:08Z</dcterms:modified>
</cp:coreProperties>
</file>