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onxai-my.sharepoint.com/personal/akash_g_onxhomes_com/Documents/Desktop/Flora Project/Flora Budget/Arati/Flora Park BOQ/"/>
    </mc:Choice>
  </mc:AlternateContent>
  <xr:revisionPtr revIDLastSave="1550" documentId="8_{646E4ECE-D00F-4B5F-B9B5-EA6F7E0070C0}" xr6:coauthVersionLast="47" xr6:coauthVersionMax="47" xr10:uidLastSave="{C7D5AF7C-2135-4DA1-A2E8-250DDF38AF9F}"/>
  <bookViews>
    <workbookView xWindow="-120" yWindow="-120" windowWidth="29040" windowHeight="15720" activeTab="3" xr2:uid="{00000000-000D-0000-FFFF-FFFF00000000}"/>
  </bookViews>
  <sheets>
    <sheet name="Summary" sheetId="5" r:id="rId1"/>
    <sheet name="Final Summary " sheetId="18" r:id="rId2"/>
    <sheet name="Boq Park" sheetId="1" r:id="rId3"/>
    <sheet name="CB BOQ" sheetId="14" r:id="rId4"/>
    <sheet name="Central Building " sheetId="6" r:id="rId5"/>
    <sheet name="BBS" sheetId="8" r:id="rId6"/>
    <sheet name="Central Concrete Deck Slab BBS" sheetId="11" r:id="rId7"/>
    <sheet name="Take off-CB " sheetId="10" r:id="rId8"/>
    <sheet name="Take off_Restroom &amp; ELec room" sheetId="15" r:id="rId9"/>
    <sheet name="Rest Room &amp; Electrical Room BOQ" sheetId="17" r:id="rId10"/>
    <sheet name="Steel Take off Restroom Elec ro" sheetId="16" r:id="rId11"/>
    <sheet name="Doors &amp; Windows Schedule" sheetId="13" r:id="rId12"/>
    <sheet name="Deck Slab BBS" sheetId="12" r:id="rId13"/>
    <sheet name="Sheet4" sheetId="9" r:id="rId14"/>
    <sheet name="Sewer system" sheetId="3" r:id="rId15"/>
    <sheet name="Drainage System" sheetId="2" r:id="rId16"/>
    <sheet name="Parking lot" sheetId="4" r:id="rId17"/>
  </sheets>
  <externalReferences>
    <externalReference r:id="rId1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18" l="1"/>
  <c r="F11" i="18"/>
  <c r="E11" i="18"/>
  <c r="I111" i="15"/>
  <c r="B13" i="5"/>
  <c r="H99" i="1"/>
  <c r="H98" i="1"/>
  <c r="H97" i="1"/>
  <c r="H96" i="1"/>
  <c r="H95" i="1"/>
  <c r="H94" i="1"/>
  <c r="H93" i="1"/>
  <c r="H92" i="1"/>
  <c r="G53" i="4"/>
  <c r="G52" i="4"/>
  <c r="H53" i="4"/>
  <c r="H52" i="4"/>
  <c r="E56" i="4"/>
  <c r="G43" i="4"/>
  <c r="H43" i="4" s="1"/>
  <c r="G44" i="4"/>
  <c r="H44" i="4" s="1"/>
  <c r="G45" i="4"/>
  <c r="H45" i="4" s="1"/>
  <c r="G46" i="4"/>
  <c r="H46" i="4" s="1"/>
  <c r="G47" i="4"/>
  <c r="H47" i="4" s="1"/>
  <c r="G48" i="4"/>
  <c r="H48" i="4" s="1"/>
  <c r="G49" i="4"/>
  <c r="H49" i="4" s="1"/>
  <c r="G50" i="4"/>
  <c r="H50" i="4" s="1"/>
  <c r="G51" i="4"/>
  <c r="H51" i="4" s="1"/>
  <c r="G42" i="4"/>
  <c r="H42" i="4" s="1"/>
  <c r="G56" i="4"/>
  <c r="H55" i="4"/>
  <c r="H99" i="4"/>
  <c r="J99" i="4" s="1"/>
  <c r="D41" i="1" s="1"/>
  <c r="H97" i="4"/>
  <c r="J97" i="4" s="1"/>
  <c r="D37" i="1" s="1"/>
  <c r="D35" i="1" l="1"/>
  <c r="D36" i="1" s="1"/>
  <c r="H56" i="4"/>
  <c r="E6" i="1" l="1"/>
  <c r="H95" i="4"/>
  <c r="H94" i="4"/>
  <c r="H93" i="4"/>
  <c r="H92" i="4"/>
  <c r="H91" i="4"/>
  <c r="H90" i="4"/>
  <c r="H89" i="4"/>
  <c r="H88" i="4"/>
  <c r="H87" i="4"/>
  <c r="H86" i="4"/>
  <c r="H85" i="4"/>
  <c r="H84" i="4"/>
  <c r="H83" i="4"/>
  <c r="H82" i="4"/>
  <c r="H81" i="4"/>
  <c r="H80" i="4"/>
  <c r="H79" i="4"/>
  <c r="H78" i="4"/>
  <c r="H77" i="4"/>
  <c r="H76" i="4"/>
  <c r="H75" i="4"/>
  <c r="H74" i="4"/>
  <c r="H73" i="4"/>
  <c r="H72" i="4"/>
  <c r="H71" i="4"/>
  <c r="H70" i="4"/>
  <c r="H69" i="4"/>
  <c r="H68" i="4"/>
  <c r="H67" i="4"/>
  <c r="H66" i="4"/>
  <c r="H65" i="4"/>
  <c r="H64" i="4"/>
  <c r="H63" i="4"/>
  <c r="H62" i="4"/>
  <c r="H61" i="4"/>
  <c r="H60" i="4"/>
  <c r="H59" i="4"/>
  <c r="H41" i="4"/>
  <c r="H40" i="4"/>
  <c r="H39" i="4"/>
  <c r="H38" i="4"/>
  <c r="H37" i="4"/>
  <c r="H36" i="4"/>
  <c r="H35" i="4"/>
  <c r="E34" i="4"/>
  <c r="H34" i="4" s="1"/>
  <c r="H33" i="4"/>
  <c r="H32" i="4"/>
  <c r="H31" i="4"/>
  <c r="H30" i="4"/>
  <c r="H29" i="4"/>
  <c r="H28" i="4"/>
  <c r="H27" i="4"/>
  <c r="H26" i="4"/>
  <c r="H25" i="4"/>
  <c r="H24" i="4"/>
  <c r="H21" i="4"/>
  <c r="H20" i="4"/>
  <c r="H19" i="4"/>
  <c r="H18" i="4"/>
  <c r="E14" i="4"/>
  <c r="H14" i="4" s="1"/>
  <c r="H13" i="4"/>
  <c r="H12" i="4"/>
  <c r="H11" i="4"/>
  <c r="H10" i="4"/>
  <c r="H9" i="4"/>
  <c r="H8" i="4"/>
  <c r="H17" i="4"/>
  <c r="H16" i="4"/>
  <c r="H15" i="4"/>
  <c r="J23" i="4" l="1"/>
  <c r="D6" i="1" s="1"/>
  <c r="F6" i="1" s="1"/>
  <c r="H6" i="1" s="1"/>
  <c r="J58" i="4"/>
  <c r="H7" i="4"/>
  <c r="H6" i="4"/>
  <c r="H5" i="4"/>
  <c r="H4" i="4"/>
  <c r="E5" i="1"/>
  <c r="D7" i="18"/>
  <c r="T8" i="18"/>
  <c r="W8" i="18" s="1"/>
  <c r="B8" i="18"/>
  <c r="T7" i="18"/>
  <c r="W7" i="18" s="1"/>
  <c r="E7" i="18"/>
  <c r="AG88" i="16"/>
  <c r="D19" i="17" s="1"/>
  <c r="F19" i="17" s="1"/>
  <c r="D141" i="17"/>
  <c r="D137" i="17"/>
  <c r="D83" i="17"/>
  <c r="F83" i="17" s="1"/>
  <c r="J83" i="17" s="1"/>
  <c r="D71" i="17"/>
  <c r="F71" i="17" s="1"/>
  <c r="H71" i="17" s="1"/>
  <c r="D71" i="14"/>
  <c r="D73" i="17"/>
  <c r="D74" i="17" s="1"/>
  <c r="D69" i="17"/>
  <c r="F69" i="17" s="1"/>
  <c r="D79" i="17"/>
  <c r="F79" i="17" s="1"/>
  <c r="H79" i="17" s="1"/>
  <c r="D65" i="17"/>
  <c r="F65" i="17" s="1"/>
  <c r="D32" i="17"/>
  <c r="F32" i="17" s="1"/>
  <c r="D33" i="17"/>
  <c r="F33" i="17" s="1"/>
  <c r="D34" i="17"/>
  <c r="F34" i="17" s="1"/>
  <c r="D35" i="17"/>
  <c r="F35" i="17" s="1"/>
  <c r="D36" i="17"/>
  <c r="F36" i="17" s="1"/>
  <c r="J36" i="17" s="1"/>
  <c r="F44" i="17"/>
  <c r="J44" i="17" s="1"/>
  <c r="F78" i="17"/>
  <c r="F140" i="17"/>
  <c r="J140" i="17" s="1"/>
  <c r="K140" i="17" s="1"/>
  <c r="F139" i="17"/>
  <c r="J139" i="17" s="1"/>
  <c r="K139" i="17" s="1"/>
  <c r="F138" i="17"/>
  <c r="J138" i="17" s="1"/>
  <c r="K138" i="17" s="1"/>
  <c r="F137" i="17"/>
  <c r="J137" i="17" s="1"/>
  <c r="K137" i="17" s="1"/>
  <c r="F136" i="17"/>
  <c r="J136" i="17" s="1"/>
  <c r="K136" i="17" s="1"/>
  <c r="F135" i="17"/>
  <c r="J135" i="17" s="1"/>
  <c r="K135" i="17" s="1"/>
  <c r="F134" i="17"/>
  <c r="J134" i="17" s="1"/>
  <c r="K134" i="17" s="1"/>
  <c r="F133" i="17"/>
  <c r="J133" i="17" s="1"/>
  <c r="K133" i="17" s="1"/>
  <c r="F132" i="17"/>
  <c r="J132" i="17" s="1"/>
  <c r="K132" i="17" s="1"/>
  <c r="F131" i="17"/>
  <c r="J131" i="17" s="1"/>
  <c r="K131" i="17" s="1"/>
  <c r="F130" i="17"/>
  <c r="J130" i="17" s="1"/>
  <c r="K130" i="17" s="1"/>
  <c r="F129" i="17"/>
  <c r="J129" i="17" s="1"/>
  <c r="K129" i="17" s="1"/>
  <c r="F128" i="17"/>
  <c r="J128" i="17" s="1"/>
  <c r="K128" i="17" s="1"/>
  <c r="F127" i="17"/>
  <c r="J127" i="17" s="1"/>
  <c r="K127" i="17" s="1"/>
  <c r="F126" i="17"/>
  <c r="J126" i="17" s="1"/>
  <c r="K126" i="17" s="1"/>
  <c r="F123" i="17"/>
  <c r="J123" i="17" s="1"/>
  <c r="F122" i="17"/>
  <c r="J122" i="17" s="1"/>
  <c r="H121" i="17"/>
  <c r="H119" i="17"/>
  <c r="I118" i="17"/>
  <c r="F118" i="17"/>
  <c r="H118" i="17" s="1"/>
  <c r="I117" i="17"/>
  <c r="F117" i="17"/>
  <c r="H117" i="17" s="1"/>
  <c r="I116" i="17"/>
  <c r="F116" i="17"/>
  <c r="H116" i="17" s="1"/>
  <c r="I115" i="17"/>
  <c r="F115" i="17"/>
  <c r="H115" i="17" s="1"/>
  <c r="F113" i="17"/>
  <c r="F111" i="17"/>
  <c r="J111" i="17" s="1"/>
  <c r="G107" i="17"/>
  <c r="F101" i="17"/>
  <c r="H101" i="17" s="1"/>
  <c r="F99" i="17"/>
  <c r="J99" i="17" s="1"/>
  <c r="F96" i="17"/>
  <c r="H96" i="17" s="1"/>
  <c r="F94" i="17"/>
  <c r="J94" i="17" s="1"/>
  <c r="F93" i="17"/>
  <c r="H93" i="17" s="1"/>
  <c r="F92" i="17"/>
  <c r="J92" i="17" s="1"/>
  <c r="F91" i="17"/>
  <c r="H91" i="17" s="1"/>
  <c r="F89" i="17"/>
  <c r="H89" i="17" s="1"/>
  <c r="I79" i="17"/>
  <c r="I78" i="17"/>
  <c r="I77" i="17"/>
  <c r="F77" i="17"/>
  <c r="J77" i="17" s="1"/>
  <c r="J75" i="17"/>
  <c r="K75" i="17" s="1"/>
  <c r="F72" i="17"/>
  <c r="J72" i="17" s="1"/>
  <c r="F70" i="17"/>
  <c r="J70" i="17" s="1"/>
  <c r="J68" i="17"/>
  <c r="H68" i="17"/>
  <c r="I67" i="17"/>
  <c r="F67" i="17"/>
  <c r="H67" i="17" s="1"/>
  <c r="I66" i="17"/>
  <c r="F66" i="17"/>
  <c r="H66" i="17" s="1"/>
  <c r="I65" i="17"/>
  <c r="F64" i="17"/>
  <c r="J64" i="17" s="1"/>
  <c r="H62" i="17"/>
  <c r="F59" i="17"/>
  <c r="H59" i="17" s="1"/>
  <c r="F58" i="17"/>
  <c r="J58" i="17" s="1"/>
  <c r="J49" i="17"/>
  <c r="K49" i="17" s="1"/>
  <c r="F48" i="17"/>
  <c r="J48" i="17" s="1"/>
  <c r="F47" i="17"/>
  <c r="H47" i="17" s="1"/>
  <c r="F46" i="17"/>
  <c r="J46" i="17" s="1"/>
  <c r="F43" i="17"/>
  <c r="H43" i="17" s="1"/>
  <c r="F42" i="17"/>
  <c r="J42" i="17" s="1"/>
  <c r="F41" i="17"/>
  <c r="H41" i="17" s="1"/>
  <c r="F40" i="17"/>
  <c r="J40" i="17" s="1"/>
  <c r="F39" i="17"/>
  <c r="H39" i="17" s="1"/>
  <c r="F38" i="17"/>
  <c r="J38" i="17" s="1"/>
  <c r="J37" i="17"/>
  <c r="K37" i="17" s="1"/>
  <c r="H27" i="17"/>
  <c r="F21" i="17"/>
  <c r="H21" i="17" s="1"/>
  <c r="F20" i="17"/>
  <c r="F15" i="17"/>
  <c r="K14" i="17"/>
  <c r="F14" i="17"/>
  <c r="F13" i="17"/>
  <c r="H13" i="17" s="1"/>
  <c r="E12" i="17"/>
  <c r="K11" i="17"/>
  <c r="G9" i="17"/>
  <c r="H239" i="15"/>
  <c r="H238" i="15"/>
  <c r="F237" i="15"/>
  <c r="E237" i="15"/>
  <c r="H236" i="15"/>
  <c r="F235" i="15"/>
  <c r="E235" i="15"/>
  <c r="F234" i="15"/>
  <c r="E234" i="15"/>
  <c r="E233" i="15"/>
  <c r="H233" i="15" s="1"/>
  <c r="A232" i="15"/>
  <c r="F228" i="15"/>
  <c r="E228" i="15"/>
  <c r="F226" i="15"/>
  <c r="E226" i="15"/>
  <c r="F225" i="15"/>
  <c r="E225" i="15"/>
  <c r="E224" i="15"/>
  <c r="H224" i="15" s="1"/>
  <c r="H230" i="15"/>
  <c r="H229" i="15"/>
  <c r="H217" i="15"/>
  <c r="H219" i="15"/>
  <c r="H221" i="15"/>
  <c r="H220" i="15"/>
  <c r="H218" i="15"/>
  <c r="H213" i="15"/>
  <c r="H212" i="15"/>
  <c r="E211" i="15"/>
  <c r="G211" i="15"/>
  <c r="A209" i="15"/>
  <c r="A215" i="15" s="1"/>
  <c r="H207" i="15"/>
  <c r="H203" i="15"/>
  <c r="H201" i="15"/>
  <c r="H199" i="15"/>
  <c r="H197" i="15"/>
  <c r="H205" i="15"/>
  <c r="H200" i="15"/>
  <c r="G155" i="15"/>
  <c r="G156" i="15" s="1"/>
  <c r="E157" i="15" s="1"/>
  <c r="D158" i="15" s="1"/>
  <c r="E155" i="15"/>
  <c r="E156" i="15" s="1"/>
  <c r="G150" i="15"/>
  <c r="G151" i="15" s="1"/>
  <c r="E152" i="15" s="1"/>
  <c r="D153" i="15" s="1"/>
  <c r="E150" i="15"/>
  <c r="E151" i="15" s="1"/>
  <c r="E196" i="15"/>
  <c r="H196" i="15" s="1"/>
  <c r="H206" i="15"/>
  <c r="H198" i="15"/>
  <c r="A195" i="15"/>
  <c r="H190" i="15"/>
  <c r="I190" i="15" s="1"/>
  <c r="H193" i="15"/>
  <c r="F191" i="15"/>
  <c r="E191" i="15"/>
  <c r="H216" i="15" s="1"/>
  <c r="F189" i="15"/>
  <c r="E189" i="15"/>
  <c r="F188" i="15"/>
  <c r="H204" i="15" s="1"/>
  <c r="E188" i="15"/>
  <c r="E187" i="15"/>
  <c r="H187" i="15" s="1"/>
  <c r="E182" i="15"/>
  <c r="H182" i="15" s="1"/>
  <c r="E184" i="15"/>
  <c r="D184" i="15"/>
  <c r="H183" i="15"/>
  <c r="D60" i="17" s="1"/>
  <c r="F60" i="17" s="1"/>
  <c r="E179" i="15"/>
  <c r="H179" i="15" s="1"/>
  <c r="F174" i="15"/>
  <c r="F175" i="15" s="1"/>
  <c r="F176" i="15" s="1"/>
  <c r="E177" i="15" s="1"/>
  <c r="D178" i="15" s="1"/>
  <c r="E175" i="15"/>
  <c r="F170" i="15"/>
  <c r="F171" i="15" s="1"/>
  <c r="E172" i="15" s="1"/>
  <c r="D173" i="15" s="1"/>
  <c r="E170" i="15"/>
  <c r="F165" i="15"/>
  <c r="F166" i="15" s="1"/>
  <c r="E167" i="15" s="1"/>
  <c r="D168" i="15" s="1"/>
  <c r="E165" i="15"/>
  <c r="H147" i="15"/>
  <c r="H146" i="15"/>
  <c r="H144" i="15"/>
  <c r="H137" i="15"/>
  <c r="H138" i="15"/>
  <c r="H139" i="15"/>
  <c r="H140" i="15"/>
  <c r="H141" i="15"/>
  <c r="H135" i="15"/>
  <c r="G136" i="15"/>
  <c r="H136" i="15" s="1"/>
  <c r="G145" i="15"/>
  <c r="H145" i="15" s="1"/>
  <c r="F131" i="15"/>
  <c r="G131" i="15"/>
  <c r="G130" i="15"/>
  <c r="H130" i="15" s="1"/>
  <c r="I130" i="15" s="1"/>
  <c r="G129" i="15"/>
  <c r="H129" i="15" s="1"/>
  <c r="I129" i="15" s="1"/>
  <c r="G126" i="15"/>
  <c r="E126" i="15"/>
  <c r="F123" i="15"/>
  <c r="H123" i="15" s="1"/>
  <c r="I123" i="15" s="1"/>
  <c r="F122" i="15"/>
  <c r="F121" i="15"/>
  <c r="E121" i="15"/>
  <c r="E122" i="15" s="1"/>
  <c r="G119" i="15"/>
  <c r="E119" i="15"/>
  <c r="F118" i="15"/>
  <c r="H118" i="15" s="1"/>
  <c r="I118" i="15" s="1"/>
  <c r="H116" i="15"/>
  <c r="I116" i="15" s="1"/>
  <c r="H115" i="15"/>
  <c r="I115" i="15" s="1"/>
  <c r="I78" i="16"/>
  <c r="I73" i="16"/>
  <c r="G83" i="16"/>
  <c r="G78" i="16"/>
  <c r="G73" i="16"/>
  <c r="G68" i="16"/>
  <c r="L73" i="16"/>
  <c r="W73" i="16" s="1"/>
  <c r="L68" i="16"/>
  <c r="I68" i="16"/>
  <c r="AF83" i="16"/>
  <c r="AE83" i="16"/>
  <c r="AD83" i="16"/>
  <c r="AC83" i="16"/>
  <c r="AB83" i="16"/>
  <c r="Z83" i="16"/>
  <c r="Y83" i="16"/>
  <c r="I83" i="16"/>
  <c r="L83" i="16"/>
  <c r="AF78" i="16"/>
  <c r="AE78" i="16"/>
  <c r="AD78" i="16"/>
  <c r="AC78" i="16"/>
  <c r="AB78" i="16"/>
  <c r="Z78" i="16"/>
  <c r="Y78" i="16"/>
  <c r="L78" i="16"/>
  <c r="S77" i="16"/>
  <c r="AF73" i="16"/>
  <c r="AE73" i="16"/>
  <c r="AD73" i="16"/>
  <c r="AC73" i="16"/>
  <c r="AB73" i="16"/>
  <c r="Z73" i="16"/>
  <c r="Y73" i="16"/>
  <c r="V73" i="16"/>
  <c r="S72" i="16"/>
  <c r="AF68" i="16"/>
  <c r="AE68" i="16"/>
  <c r="AD68" i="16"/>
  <c r="AC68" i="16"/>
  <c r="AB68" i="16"/>
  <c r="Z68" i="16"/>
  <c r="Y68" i="16"/>
  <c r="V68" i="16"/>
  <c r="W68" i="16"/>
  <c r="L58" i="16"/>
  <c r="L63" i="16"/>
  <c r="W63" i="16" s="1"/>
  <c r="G63" i="16"/>
  <c r="G58" i="16"/>
  <c r="AG53" i="16"/>
  <c r="AG48" i="16"/>
  <c r="I63" i="16"/>
  <c r="I58" i="16"/>
  <c r="AF63" i="16"/>
  <c r="AE63" i="16"/>
  <c r="AD63" i="16"/>
  <c r="AC63" i="16"/>
  <c r="AB63" i="16"/>
  <c r="Z63" i="16"/>
  <c r="Y63" i="16"/>
  <c r="AF58" i="16"/>
  <c r="AE58" i="16"/>
  <c r="AD58" i="16"/>
  <c r="AC58" i="16"/>
  <c r="AB58" i="16"/>
  <c r="Z58" i="16"/>
  <c r="Y58" i="16"/>
  <c r="W58" i="16"/>
  <c r="L53" i="16"/>
  <c r="W53" i="16" s="1"/>
  <c r="I53" i="16"/>
  <c r="G53" i="16"/>
  <c r="G48" i="16"/>
  <c r="I48" i="16"/>
  <c r="L48" i="16"/>
  <c r="W48" i="16" s="1"/>
  <c r="AF53" i="16"/>
  <c r="AE53" i="16"/>
  <c r="AD53" i="16"/>
  <c r="AC53" i="16"/>
  <c r="AB53" i="16"/>
  <c r="Z53" i="16"/>
  <c r="Y53" i="16"/>
  <c r="AF48" i="16"/>
  <c r="AE48" i="16"/>
  <c r="AD48" i="16"/>
  <c r="AC48" i="16"/>
  <c r="AB48" i="16"/>
  <c r="Z48" i="16"/>
  <c r="Y48" i="16"/>
  <c r="AF42" i="16"/>
  <c r="AE42" i="16"/>
  <c r="AD42" i="16"/>
  <c r="AC42" i="16"/>
  <c r="AB42" i="16"/>
  <c r="Z42" i="16"/>
  <c r="Y42" i="16"/>
  <c r="AF37" i="16"/>
  <c r="AE37" i="16"/>
  <c r="AD37" i="16"/>
  <c r="AC37" i="16"/>
  <c r="AB37" i="16"/>
  <c r="Z37" i="16"/>
  <c r="Y37" i="16"/>
  <c r="AF32" i="16"/>
  <c r="AE32" i="16"/>
  <c r="AD32" i="16"/>
  <c r="AC32" i="16"/>
  <c r="AB32" i="16"/>
  <c r="Z32" i="16"/>
  <c r="Y32" i="16"/>
  <c r="AF27" i="16"/>
  <c r="AE27" i="16"/>
  <c r="AD27" i="16"/>
  <c r="AC27" i="16"/>
  <c r="AB27" i="16"/>
  <c r="Z27" i="16"/>
  <c r="Y27" i="16"/>
  <c r="Z21" i="16"/>
  <c r="Y21" i="16"/>
  <c r="Z16" i="16"/>
  <c r="Y16" i="16"/>
  <c r="Z11" i="16"/>
  <c r="Y11" i="16"/>
  <c r="Z6" i="16"/>
  <c r="Y6" i="16"/>
  <c r="AB6" i="16"/>
  <c r="AC6" i="16"/>
  <c r="AD6" i="16"/>
  <c r="AE6" i="16"/>
  <c r="AF6" i="16"/>
  <c r="G26" i="16"/>
  <c r="L27" i="16" s="1"/>
  <c r="S31" i="16" s="1"/>
  <c r="V27" i="16" s="1"/>
  <c r="J32" i="16"/>
  <c r="J11" i="16"/>
  <c r="R39" i="16"/>
  <c r="M37" i="16"/>
  <c r="I42" i="16" s="1"/>
  <c r="L37" i="16"/>
  <c r="S36" i="16"/>
  <c r="R34" i="16"/>
  <c r="W32" i="16"/>
  <c r="G27" i="16"/>
  <c r="I37" i="16" s="1"/>
  <c r="M16" i="16"/>
  <c r="I21" i="16" s="1"/>
  <c r="G5" i="16"/>
  <c r="L6" i="16" s="1"/>
  <c r="S10" i="16" s="1"/>
  <c r="V6" i="16" s="1"/>
  <c r="G6" i="16"/>
  <c r="I16" i="16" s="1"/>
  <c r="AF21" i="16"/>
  <c r="AE21" i="16"/>
  <c r="AD21" i="16"/>
  <c r="AC21" i="16"/>
  <c r="AB21" i="16"/>
  <c r="R18" i="16"/>
  <c r="AF16" i="16"/>
  <c r="AE16" i="16"/>
  <c r="AD16" i="16"/>
  <c r="AC16" i="16"/>
  <c r="AB16" i="16"/>
  <c r="L16" i="16"/>
  <c r="S15" i="16"/>
  <c r="R13" i="16"/>
  <c r="AF11" i="16"/>
  <c r="AE11" i="16"/>
  <c r="AD11" i="16"/>
  <c r="AC11" i="16"/>
  <c r="AB11" i="16"/>
  <c r="W11" i="16"/>
  <c r="A111" i="15"/>
  <c r="F110" i="15"/>
  <c r="H110" i="15" s="1"/>
  <c r="I110" i="15" s="1"/>
  <c r="H109" i="15"/>
  <c r="I109" i="15" s="1"/>
  <c r="H108" i="15"/>
  <c r="I108" i="15" s="1"/>
  <c r="H107" i="15"/>
  <c r="I107" i="15" s="1"/>
  <c r="E106" i="15"/>
  <c r="E98" i="15"/>
  <c r="E99" i="15" s="1"/>
  <c r="H99" i="15" s="1"/>
  <c r="I99" i="15" s="1"/>
  <c r="G106" i="15"/>
  <c r="G104" i="15"/>
  <c r="E104" i="15"/>
  <c r="G103" i="15"/>
  <c r="G102" i="15"/>
  <c r="E102" i="15"/>
  <c r="E103" i="15" s="1"/>
  <c r="E100" i="15"/>
  <c r="H100" i="15" s="1"/>
  <c r="I100" i="15" s="1"/>
  <c r="A96" i="15"/>
  <c r="G95" i="15"/>
  <c r="F95" i="15"/>
  <c r="H94" i="15"/>
  <c r="I94" i="15" s="1"/>
  <c r="G93" i="15"/>
  <c r="H93" i="15" s="1"/>
  <c r="I93" i="15" s="1"/>
  <c r="G92" i="15"/>
  <c r="H92" i="15" s="1"/>
  <c r="I92" i="15" s="1"/>
  <c r="G90" i="15"/>
  <c r="H90" i="15" s="1"/>
  <c r="I90" i="15" s="1"/>
  <c r="G88" i="15"/>
  <c r="F88" i="15"/>
  <c r="G87" i="15"/>
  <c r="F87" i="15"/>
  <c r="G86" i="15"/>
  <c r="F86" i="15"/>
  <c r="E86" i="15"/>
  <c r="E87" i="15" s="1"/>
  <c r="G84" i="15"/>
  <c r="F84" i="15"/>
  <c r="G83" i="15"/>
  <c r="F83" i="15"/>
  <c r="G82" i="15"/>
  <c r="F82" i="15"/>
  <c r="E82" i="15"/>
  <c r="E83" i="15" s="1"/>
  <c r="G79" i="15"/>
  <c r="H79" i="15" s="1"/>
  <c r="I79" i="15" s="1"/>
  <c r="G78" i="15"/>
  <c r="H78" i="15" s="1"/>
  <c r="I78" i="15" s="1"/>
  <c r="G77" i="15"/>
  <c r="H77" i="15" s="1"/>
  <c r="I77" i="15" s="1"/>
  <c r="G75" i="15"/>
  <c r="H75" i="15" s="1"/>
  <c r="I75" i="15" s="1"/>
  <c r="G73" i="15"/>
  <c r="F73" i="15"/>
  <c r="G72" i="15"/>
  <c r="F72" i="15"/>
  <c r="G71" i="15"/>
  <c r="F71" i="15"/>
  <c r="E72" i="15"/>
  <c r="G69" i="15"/>
  <c r="F69" i="15"/>
  <c r="G68" i="15"/>
  <c r="F68" i="15"/>
  <c r="G67" i="15"/>
  <c r="F67" i="15"/>
  <c r="E68" i="15"/>
  <c r="A65" i="15"/>
  <c r="E48" i="15"/>
  <c r="A47" i="15"/>
  <c r="F43" i="15"/>
  <c r="H43" i="15" s="1"/>
  <c r="I43" i="15" s="1"/>
  <c r="F46" i="15"/>
  <c r="H46" i="15" s="1"/>
  <c r="I46" i="15" s="1"/>
  <c r="H45" i="15"/>
  <c r="I45" i="15" s="1"/>
  <c r="H42" i="15"/>
  <c r="I42" i="15" s="1"/>
  <c r="E35" i="15"/>
  <c r="H35" i="15" s="1"/>
  <c r="I35" i="15" s="1"/>
  <c r="H36" i="15"/>
  <c r="I36" i="15" s="1"/>
  <c r="F39" i="15"/>
  <c r="E39" i="15"/>
  <c r="H38" i="15"/>
  <c r="I38" i="15" s="1"/>
  <c r="A34" i="15"/>
  <c r="A41" i="15" s="1"/>
  <c r="E32" i="15"/>
  <c r="F32" i="15"/>
  <c r="E28" i="15"/>
  <c r="E49" i="15" s="1"/>
  <c r="H49" i="15" s="1"/>
  <c r="I49" i="15" s="1"/>
  <c r="F28" i="15"/>
  <c r="G27" i="15"/>
  <c r="G28" i="15" s="1"/>
  <c r="G25" i="15"/>
  <c r="H25" i="15" s="1"/>
  <c r="I25" i="15" s="1"/>
  <c r="F31" i="15"/>
  <c r="E31" i="15"/>
  <c r="G24" i="15"/>
  <c r="H24" i="15" s="1"/>
  <c r="I24" i="15" s="1"/>
  <c r="G23" i="15"/>
  <c r="H23" i="15" s="1"/>
  <c r="I23" i="15" s="1"/>
  <c r="G22" i="15"/>
  <c r="H22" i="15" s="1"/>
  <c r="I22" i="15" s="1"/>
  <c r="G21" i="15"/>
  <c r="H21" i="15" s="1"/>
  <c r="I21" i="15" s="1"/>
  <c r="F9" i="14"/>
  <c r="G9" i="14"/>
  <c r="J3" i="4" l="1"/>
  <c r="D5" i="1" s="1"/>
  <c r="F5" i="1" s="1"/>
  <c r="H5" i="1" s="1"/>
  <c r="H2" i="1" s="1"/>
  <c r="F7" i="18"/>
  <c r="J116" i="17"/>
  <c r="K116" i="17" s="1"/>
  <c r="K68" i="17"/>
  <c r="D80" i="17"/>
  <c r="D85" i="17" s="1"/>
  <c r="F85" i="17" s="1"/>
  <c r="F73" i="17"/>
  <c r="H73" i="17" s="1"/>
  <c r="H40" i="17"/>
  <c r="K40" i="17" s="1"/>
  <c r="J47" i="17"/>
  <c r="K47" i="17" s="1"/>
  <c r="J60" i="17"/>
  <c r="H60" i="17"/>
  <c r="J39" i="17"/>
  <c r="K39" i="17" s="1"/>
  <c r="H77" i="17"/>
  <c r="K77" i="17" s="1"/>
  <c r="J71" i="17"/>
  <c r="K71" i="17" s="1"/>
  <c r="J78" i="17"/>
  <c r="J21" i="17"/>
  <c r="K21" i="17" s="1"/>
  <c r="H48" i="17"/>
  <c r="K48" i="17" s="1"/>
  <c r="J65" i="17"/>
  <c r="J43" i="17"/>
  <c r="K43" i="17" s="1"/>
  <c r="H65" i="17"/>
  <c r="H83" i="17"/>
  <c r="H44" i="17"/>
  <c r="K44" i="17" s="1"/>
  <c r="J59" i="17"/>
  <c r="K59" i="17" s="1"/>
  <c r="J96" i="17"/>
  <c r="K96" i="17" s="1"/>
  <c r="J91" i="17"/>
  <c r="K91" i="17" s="1"/>
  <c r="H111" i="17"/>
  <c r="K111" i="17" s="1"/>
  <c r="J66" i="17"/>
  <c r="K66" i="17" s="1"/>
  <c r="H38" i="17"/>
  <c r="K38" i="17" s="1"/>
  <c r="J41" i="17"/>
  <c r="K41" i="17" s="1"/>
  <c r="H92" i="17"/>
  <c r="K92" i="17" s="1"/>
  <c r="H72" i="17"/>
  <c r="K72" i="17" s="1"/>
  <c r="J101" i="17"/>
  <c r="K101" i="17" s="1"/>
  <c r="J117" i="17"/>
  <c r="K117" i="17" s="1"/>
  <c r="H122" i="17"/>
  <c r="K122" i="17" s="1"/>
  <c r="H42" i="17"/>
  <c r="K42" i="17" s="1"/>
  <c r="H46" i="17"/>
  <c r="K46" i="17" s="1"/>
  <c r="H58" i="17"/>
  <c r="K58" i="17" s="1"/>
  <c r="J89" i="17"/>
  <c r="K89" i="17" s="1"/>
  <c r="J93" i="17"/>
  <c r="K93" i="17" s="1"/>
  <c r="J115" i="17"/>
  <c r="K115" i="17" s="1"/>
  <c r="H123" i="17"/>
  <c r="K123" i="17" s="1"/>
  <c r="J118" i="17"/>
  <c r="K118" i="17" s="1"/>
  <c r="J32" i="17"/>
  <c r="H32" i="17"/>
  <c r="J19" i="17"/>
  <c r="H19" i="17"/>
  <c r="J79" i="17"/>
  <c r="K79" i="17" s="1"/>
  <c r="J20" i="17"/>
  <c r="H20" i="17"/>
  <c r="J67" i="17"/>
  <c r="K67" i="17" s="1"/>
  <c r="H113" i="17"/>
  <c r="J113" i="17"/>
  <c r="J33" i="17"/>
  <c r="H33" i="17"/>
  <c r="K83" i="17"/>
  <c r="H34" i="17"/>
  <c r="J34" i="17"/>
  <c r="J69" i="17"/>
  <c r="H69" i="17"/>
  <c r="J35" i="17"/>
  <c r="H35" i="17"/>
  <c r="J13" i="17"/>
  <c r="K13" i="17" s="1"/>
  <c r="H36" i="17"/>
  <c r="K36" i="17" s="1"/>
  <c r="H70" i="17"/>
  <c r="K70" i="17" s="1"/>
  <c r="H78" i="17"/>
  <c r="H94" i="17"/>
  <c r="K94" i="17" s="1"/>
  <c r="H99" i="17"/>
  <c r="K99" i="17" s="1"/>
  <c r="F45" i="17"/>
  <c r="F74" i="17"/>
  <c r="F114" i="17"/>
  <c r="F61" i="17"/>
  <c r="H64" i="17"/>
  <c r="K64" i="17" s="1"/>
  <c r="H237" i="15"/>
  <c r="H234" i="15"/>
  <c r="H235" i="15"/>
  <c r="H228" i="15"/>
  <c r="H227" i="15"/>
  <c r="H211" i="15"/>
  <c r="I209" i="15" s="1"/>
  <c r="H226" i="15"/>
  <c r="H225" i="15"/>
  <c r="I215" i="15"/>
  <c r="I133" i="15"/>
  <c r="H156" i="15"/>
  <c r="I156" i="15" s="1"/>
  <c r="E158" i="15"/>
  <c r="H158" i="15" s="1"/>
  <c r="I158" i="15" s="1"/>
  <c r="D157" i="15"/>
  <c r="H157" i="15" s="1"/>
  <c r="I157" i="15" s="1"/>
  <c r="D31" i="17" s="1"/>
  <c r="F31" i="17" s="1"/>
  <c r="J31" i="17" s="1"/>
  <c r="H155" i="15"/>
  <c r="I155" i="15" s="1"/>
  <c r="D30" i="17" s="1"/>
  <c r="F30" i="17" s="1"/>
  <c r="J30" i="17" s="1"/>
  <c r="H151" i="15"/>
  <c r="I151" i="15" s="1"/>
  <c r="E153" i="15"/>
  <c r="H153" i="15" s="1"/>
  <c r="I153" i="15" s="1"/>
  <c r="D152" i="15"/>
  <c r="H152" i="15" s="1"/>
  <c r="I152" i="15" s="1"/>
  <c r="H150" i="15"/>
  <c r="I150" i="15" s="1"/>
  <c r="H202" i="15"/>
  <c r="I195" i="15" s="1"/>
  <c r="D100" i="17" s="1"/>
  <c r="F100" i="17" s="1"/>
  <c r="J100" i="17" s="1"/>
  <c r="H188" i="15"/>
  <c r="I188" i="15" s="1"/>
  <c r="H189" i="15"/>
  <c r="I189" i="15" s="1"/>
  <c r="H184" i="15"/>
  <c r="I181" i="15" s="1"/>
  <c r="D120" i="17" s="1"/>
  <c r="F120" i="17" s="1"/>
  <c r="J120" i="17" s="1"/>
  <c r="H191" i="15"/>
  <c r="I191" i="15" s="1"/>
  <c r="H192" i="15"/>
  <c r="I192" i="15" s="1"/>
  <c r="I193" i="15"/>
  <c r="I187" i="15"/>
  <c r="E166" i="15"/>
  <c r="H165" i="15"/>
  <c r="D51" i="17" s="1"/>
  <c r="F51" i="17" s="1"/>
  <c r="E171" i="15"/>
  <c r="H170" i="15"/>
  <c r="E176" i="15"/>
  <c r="H175" i="15"/>
  <c r="D56" i="17" s="1"/>
  <c r="F56" i="17" s="1"/>
  <c r="H56" i="17" s="1"/>
  <c r="H131" i="15"/>
  <c r="I131" i="15" s="1"/>
  <c r="H103" i="15"/>
  <c r="I103" i="15" s="1"/>
  <c r="H121" i="15"/>
  <c r="I121" i="15" s="1"/>
  <c r="F125" i="15"/>
  <c r="F126" i="15" s="1"/>
  <c r="H126" i="15" s="1"/>
  <c r="I126" i="15" s="1"/>
  <c r="H122" i="15"/>
  <c r="I122" i="15" s="1"/>
  <c r="F119" i="15"/>
  <c r="H119" i="15" s="1"/>
  <c r="I119" i="15" s="1"/>
  <c r="H104" i="15"/>
  <c r="I104" i="15" s="1"/>
  <c r="H114" i="15"/>
  <c r="I114" i="15" s="1"/>
  <c r="X73" i="16"/>
  <c r="AA73" i="16" s="1"/>
  <c r="AG73" i="16" s="1"/>
  <c r="S82" i="16"/>
  <c r="V78" i="16" s="1"/>
  <c r="W78" i="16"/>
  <c r="X78" i="16" s="1"/>
  <c r="AA78" i="16" s="1"/>
  <c r="AG78" i="16" s="1"/>
  <c r="X68" i="16"/>
  <c r="AA68" i="16" s="1"/>
  <c r="AG68" i="16" s="1"/>
  <c r="S87" i="16"/>
  <c r="V83" i="16" s="1"/>
  <c r="W83" i="16"/>
  <c r="X83" i="16" s="1"/>
  <c r="AA83" i="16" s="1"/>
  <c r="AG83" i="16" s="1"/>
  <c r="S67" i="16"/>
  <c r="V63" i="16" s="1"/>
  <c r="H106" i="15"/>
  <c r="I106" i="15" s="1"/>
  <c r="S57" i="16"/>
  <c r="V53" i="16" s="1"/>
  <c r="S62" i="16"/>
  <c r="V58" i="16" s="1"/>
  <c r="X63" i="16"/>
  <c r="AA63" i="16" s="1"/>
  <c r="AG63" i="16" s="1"/>
  <c r="X58" i="16"/>
  <c r="AA58" i="16" s="1"/>
  <c r="AG58" i="16" s="1"/>
  <c r="X48" i="16"/>
  <c r="AA48" i="16" s="1"/>
  <c r="X53" i="16"/>
  <c r="AA53" i="16" s="1"/>
  <c r="S52" i="16"/>
  <c r="V48" i="16" s="1"/>
  <c r="S20" i="16"/>
  <c r="V16" i="16" s="1"/>
  <c r="S41" i="16"/>
  <c r="V37" i="16" s="1"/>
  <c r="W16" i="16"/>
  <c r="X16" i="16" s="1"/>
  <c r="AA16" i="16" s="1"/>
  <c r="AG16" i="16" s="1"/>
  <c r="V11" i="16"/>
  <c r="W37" i="16"/>
  <c r="X37" i="16" s="1"/>
  <c r="AA37" i="16" s="1"/>
  <c r="AG37" i="16" s="1"/>
  <c r="V32" i="16"/>
  <c r="X32" i="16"/>
  <c r="AA32" i="16" s="1"/>
  <c r="AG32" i="16" s="1"/>
  <c r="L42" i="16"/>
  <c r="S46" i="16" s="1"/>
  <c r="V42" i="16" s="1"/>
  <c r="X11" i="16"/>
  <c r="AA11" i="16" s="1"/>
  <c r="AG11" i="16" s="1"/>
  <c r="W27" i="16"/>
  <c r="X27" i="16" s="1"/>
  <c r="AA27" i="16" s="1"/>
  <c r="AG27" i="16" s="1"/>
  <c r="L21" i="16"/>
  <c r="S25" i="16" s="1"/>
  <c r="V21" i="16" s="1"/>
  <c r="W6" i="16"/>
  <c r="X6" i="16" s="1"/>
  <c r="AA6" i="16" s="1"/>
  <c r="H98" i="15"/>
  <c r="I98" i="15" s="1"/>
  <c r="H102" i="15"/>
  <c r="I102" i="15" s="1"/>
  <c r="H95" i="15"/>
  <c r="I95" i="15" s="1"/>
  <c r="H84" i="15"/>
  <c r="I84" i="15" s="1"/>
  <c r="H87" i="15"/>
  <c r="I87" i="15" s="1"/>
  <c r="H88" i="15"/>
  <c r="I88" i="15" s="1"/>
  <c r="H83" i="15"/>
  <c r="I83" i="15" s="1"/>
  <c r="H69" i="15"/>
  <c r="I69" i="15" s="1"/>
  <c r="H86" i="15"/>
  <c r="I86" i="15" s="1"/>
  <c r="H73" i="15"/>
  <c r="I73" i="15" s="1"/>
  <c r="H68" i="15"/>
  <c r="I68" i="15" s="1"/>
  <c r="H72" i="15"/>
  <c r="I72" i="15" s="1"/>
  <c r="H82" i="15"/>
  <c r="I82" i="15" s="1"/>
  <c r="H71" i="15"/>
  <c r="I71" i="15" s="1"/>
  <c r="H67" i="15"/>
  <c r="I67" i="15" s="1"/>
  <c r="I41" i="15"/>
  <c r="D9" i="17" s="1"/>
  <c r="F9" i="17" s="1"/>
  <c r="J9" i="17" s="1"/>
  <c r="E50" i="15"/>
  <c r="H50" i="15" s="1"/>
  <c r="I50" i="15" s="1"/>
  <c r="H48" i="15"/>
  <c r="I48" i="15" s="1"/>
  <c r="H39" i="15"/>
  <c r="I39" i="15" s="1"/>
  <c r="H32" i="15"/>
  <c r="I32" i="15" s="1"/>
  <c r="H28" i="15"/>
  <c r="I28" i="15" s="1"/>
  <c r="H27" i="15"/>
  <c r="I27" i="15" s="1"/>
  <c r="H31" i="15"/>
  <c r="I31" i="15" s="1"/>
  <c r="K19" i="17" l="1"/>
  <c r="D84" i="17"/>
  <c r="F84" i="17" s="1"/>
  <c r="J84" i="17" s="1"/>
  <c r="D81" i="17"/>
  <c r="D82" i="17" s="1"/>
  <c r="D29" i="17"/>
  <c r="F29" i="17" s="1"/>
  <c r="J29" i="17" s="1"/>
  <c r="D88" i="17"/>
  <c r="D90" i="17"/>
  <c r="F90" i="17" s="1"/>
  <c r="J90" i="17" s="1"/>
  <c r="D112" i="17"/>
  <c r="F112" i="17" s="1"/>
  <c r="H112" i="17" s="1"/>
  <c r="H120" i="17"/>
  <c r="K120" i="17" s="1"/>
  <c r="D28" i="17"/>
  <c r="F28" i="17" s="1"/>
  <c r="H100" i="17"/>
  <c r="K100" i="17" s="1"/>
  <c r="H30" i="17"/>
  <c r="K30" i="17" s="1"/>
  <c r="J56" i="17"/>
  <c r="K56" i="17" s="1"/>
  <c r="H9" i="17"/>
  <c r="K9" i="17" s="1"/>
  <c r="H31" i="17"/>
  <c r="K31" i="17" s="1"/>
  <c r="I128" i="15"/>
  <c r="D23" i="17" s="1"/>
  <c r="F23" i="17" s="1"/>
  <c r="J73" i="17"/>
  <c r="K73" i="17" s="1"/>
  <c r="K60" i="17"/>
  <c r="K78" i="17"/>
  <c r="K35" i="17"/>
  <c r="K65" i="17"/>
  <c r="K20" i="17"/>
  <c r="K32" i="17"/>
  <c r="H51" i="17"/>
  <c r="J51" i="17"/>
  <c r="J74" i="17"/>
  <c r="H74" i="17"/>
  <c r="K69" i="17"/>
  <c r="J85" i="17"/>
  <c r="H85" i="17"/>
  <c r="J61" i="17"/>
  <c r="H61" i="17"/>
  <c r="K34" i="17"/>
  <c r="K113" i="17"/>
  <c r="J114" i="17"/>
  <c r="H114" i="17"/>
  <c r="F81" i="17"/>
  <c r="F82" i="17"/>
  <c r="J45" i="17"/>
  <c r="H45" i="17"/>
  <c r="K33" i="17"/>
  <c r="I232" i="15"/>
  <c r="D24" i="17" s="1"/>
  <c r="F24" i="17" s="1"/>
  <c r="I223" i="15"/>
  <c r="D107" i="17" s="1"/>
  <c r="I185" i="15"/>
  <c r="H176" i="15"/>
  <c r="E178" i="15"/>
  <c r="H178" i="15" s="1"/>
  <c r="D177" i="15"/>
  <c r="H177" i="15" s="1"/>
  <c r="D57" i="17" s="1"/>
  <c r="F57" i="17" s="1"/>
  <c r="E173" i="15"/>
  <c r="H173" i="15" s="1"/>
  <c r="D55" i="17" s="1"/>
  <c r="F55" i="17" s="1"/>
  <c r="H55" i="17" s="1"/>
  <c r="D172" i="15"/>
  <c r="H172" i="15" s="1"/>
  <c r="H171" i="15"/>
  <c r="D54" i="17" s="1"/>
  <c r="F54" i="17" s="1"/>
  <c r="D167" i="15"/>
  <c r="H167" i="15" s="1"/>
  <c r="H166" i="15"/>
  <c r="E168" i="15"/>
  <c r="H168" i="15" s="1"/>
  <c r="H125" i="15"/>
  <c r="I125" i="15" s="1"/>
  <c r="I113" i="15" s="1"/>
  <c r="D25" i="17" s="1"/>
  <c r="F25" i="17" s="1"/>
  <c r="AG6" i="16"/>
  <c r="W42" i="16"/>
  <c r="X42" i="16" s="1"/>
  <c r="AA42" i="16" s="1"/>
  <c r="AG42" i="16" s="1"/>
  <c r="W21" i="16"/>
  <c r="X21" i="16" s="1"/>
  <c r="AA21" i="16" s="1"/>
  <c r="AG21" i="16" s="1"/>
  <c r="I47" i="15"/>
  <c r="D11" i="17" s="1"/>
  <c r="F11" i="17" s="1"/>
  <c r="I65" i="15"/>
  <c r="D12" i="17" s="1"/>
  <c r="F12" i="17" s="1"/>
  <c r="I34" i="15"/>
  <c r="D10" i="17" s="1"/>
  <c r="F10" i="17" s="1"/>
  <c r="I20" i="15"/>
  <c r="D6" i="17" s="1"/>
  <c r="F6" i="17" s="1"/>
  <c r="J112" i="17" l="1"/>
  <c r="H84" i="17"/>
  <c r="K84" i="17" s="1"/>
  <c r="D95" i="17"/>
  <c r="F95" i="17" s="1"/>
  <c r="J95" i="17" s="1"/>
  <c r="D97" i="17"/>
  <c r="F97" i="17" s="1"/>
  <c r="F88" i="17"/>
  <c r="H88" i="17" s="1"/>
  <c r="D98" i="17"/>
  <c r="F98" i="17" s="1"/>
  <c r="J98" i="17" s="1"/>
  <c r="H29" i="17"/>
  <c r="K29" i="17" s="1"/>
  <c r="H90" i="17"/>
  <c r="K90" i="17" s="1"/>
  <c r="F107" i="17"/>
  <c r="D108" i="17"/>
  <c r="F108" i="17" s="1"/>
  <c r="D109" i="17"/>
  <c r="J57" i="17"/>
  <c r="H57" i="17"/>
  <c r="J55" i="17"/>
  <c r="K55" i="17" s="1"/>
  <c r="J12" i="17"/>
  <c r="H12" i="17"/>
  <c r="H23" i="17"/>
  <c r="J23" i="17"/>
  <c r="J28" i="17"/>
  <c r="H28" i="17"/>
  <c r="H6" i="17"/>
  <c r="J6" i="17"/>
  <c r="D53" i="17"/>
  <c r="F53" i="17" s="1"/>
  <c r="D52" i="17"/>
  <c r="F52" i="17" s="1"/>
  <c r="H25" i="17"/>
  <c r="J25" i="17"/>
  <c r="J54" i="17"/>
  <c r="H54" i="17"/>
  <c r="J24" i="17"/>
  <c r="H24" i="17"/>
  <c r="K24" i="17" s="1"/>
  <c r="K45" i="17"/>
  <c r="K114" i="17"/>
  <c r="K112" i="17"/>
  <c r="K74" i="17"/>
  <c r="J82" i="17"/>
  <c r="H82" i="17"/>
  <c r="K61" i="17"/>
  <c r="J81" i="17"/>
  <c r="H81" i="17"/>
  <c r="K85" i="17"/>
  <c r="K51" i="17"/>
  <c r="I96" i="15"/>
  <c r="H95" i="17" l="1"/>
  <c r="K95" i="17" s="1"/>
  <c r="J88" i="17"/>
  <c r="K88" i="17" s="1"/>
  <c r="K54" i="17"/>
  <c r="K28" i="17"/>
  <c r="H98" i="17"/>
  <c r="K98" i="17" s="1"/>
  <c r="H97" i="17"/>
  <c r="J97" i="17"/>
  <c r="K25" i="17"/>
  <c r="K23" i="17"/>
  <c r="K12" i="17"/>
  <c r="K57" i="17"/>
  <c r="J52" i="17"/>
  <c r="H52" i="17"/>
  <c r="D110" i="17"/>
  <c r="F110" i="17" s="1"/>
  <c r="F109" i="17"/>
  <c r="J107" i="17"/>
  <c r="H107" i="17"/>
  <c r="K6" i="17"/>
  <c r="J53" i="17"/>
  <c r="H53" i="17"/>
  <c r="H108" i="17"/>
  <c r="J108" i="17"/>
  <c r="K82" i="17"/>
  <c r="K81" i="17"/>
  <c r="K52" i="17" l="1"/>
  <c r="K107" i="17"/>
  <c r="K97" i="17"/>
  <c r="J110" i="17"/>
  <c r="H110" i="17"/>
  <c r="J109" i="17"/>
  <c r="H109" i="17"/>
  <c r="K109" i="17" s="1"/>
  <c r="K108" i="17"/>
  <c r="K53" i="17"/>
  <c r="K110" i="17" l="1"/>
  <c r="E42" i="10" l="1"/>
  <c r="H42" i="10" s="1"/>
  <c r="I42" i="10" s="1"/>
  <c r="F42" i="10"/>
  <c r="G42" i="10"/>
  <c r="H63" i="15"/>
  <c r="H62" i="15"/>
  <c r="H61" i="15"/>
  <c r="H60" i="15"/>
  <c r="H59" i="15"/>
  <c r="H58" i="15"/>
  <c r="H57" i="15"/>
  <c r="H56" i="15"/>
  <c r="H55" i="15"/>
  <c r="H54" i="15"/>
  <c r="G18" i="15"/>
  <c r="F18" i="15"/>
  <c r="E18" i="15"/>
  <c r="G17" i="15"/>
  <c r="F17" i="15"/>
  <c r="E17" i="15"/>
  <c r="F14" i="15"/>
  <c r="H14" i="15" s="1"/>
  <c r="I14" i="15" s="1"/>
  <c r="F13" i="15"/>
  <c r="H13" i="15" s="1"/>
  <c r="I13" i="15" s="1"/>
  <c r="F12" i="15"/>
  <c r="H12" i="15" s="1"/>
  <c r="I12" i="15" s="1"/>
  <c r="F11" i="15"/>
  <c r="H11" i="15" s="1"/>
  <c r="I11" i="15" s="1"/>
  <c r="G9" i="15"/>
  <c r="G8" i="15"/>
  <c r="G7" i="15"/>
  <c r="F7" i="15"/>
  <c r="F8" i="15" s="1"/>
  <c r="G5" i="15"/>
  <c r="G4" i="15"/>
  <c r="F4" i="15"/>
  <c r="F5" i="15" s="1"/>
  <c r="F118" i="14"/>
  <c r="H118" i="14" s="1"/>
  <c r="F117" i="14"/>
  <c r="H117" i="14" s="1"/>
  <c r="F116" i="14"/>
  <c r="H116" i="14" s="1"/>
  <c r="F115" i="14"/>
  <c r="F111" i="14"/>
  <c r="J111" i="14" s="1"/>
  <c r="H115" i="14"/>
  <c r="I118" i="14"/>
  <c r="I117" i="14"/>
  <c r="J117" i="14" s="1"/>
  <c r="I116" i="14"/>
  <c r="I115" i="14"/>
  <c r="J115" i="14" s="1"/>
  <c r="G107" i="14"/>
  <c r="H119" i="14"/>
  <c r="H121" i="14"/>
  <c r="H123" i="14"/>
  <c r="F123" i="14"/>
  <c r="J123" i="14" s="1"/>
  <c r="F122" i="14"/>
  <c r="J122" i="14" s="1"/>
  <c r="F140" i="14"/>
  <c r="J140" i="14" s="1"/>
  <c r="K140" i="14" s="1"/>
  <c r="F139" i="14"/>
  <c r="J139" i="14" s="1"/>
  <c r="K139" i="14" s="1"/>
  <c r="F138" i="14"/>
  <c r="J138" i="14" s="1"/>
  <c r="K138" i="14" s="1"/>
  <c r="F137" i="14"/>
  <c r="J137" i="14" s="1"/>
  <c r="K137" i="14" s="1"/>
  <c r="F136" i="14"/>
  <c r="J136" i="14" s="1"/>
  <c r="K136" i="14" s="1"/>
  <c r="F135" i="14"/>
  <c r="J135" i="14" s="1"/>
  <c r="K135" i="14" s="1"/>
  <c r="F134" i="14"/>
  <c r="J134" i="14" s="1"/>
  <c r="K134" i="14" s="1"/>
  <c r="F133" i="14"/>
  <c r="J133" i="14" s="1"/>
  <c r="K133" i="14" s="1"/>
  <c r="F132" i="14"/>
  <c r="J132" i="14" s="1"/>
  <c r="K132" i="14" s="1"/>
  <c r="F131" i="14"/>
  <c r="J131" i="14" s="1"/>
  <c r="K131" i="14" s="1"/>
  <c r="F130" i="14"/>
  <c r="J130" i="14" s="1"/>
  <c r="K130" i="14" s="1"/>
  <c r="F129" i="14"/>
  <c r="J129" i="14" s="1"/>
  <c r="K129" i="14" s="1"/>
  <c r="F128" i="14"/>
  <c r="J128" i="14" s="1"/>
  <c r="K128" i="14" s="1"/>
  <c r="F127" i="14"/>
  <c r="J127" i="14" s="1"/>
  <c r="K127" i="14" s="1"/>
  <c r="F126" i="14"/>
  <c r="J126" i="14" s="1"/>
  <c r="K126" i="14" s="1"/>
  <c r="E382" i="10"/>
  <c r="H382" i="10" s="1"/>
  <c r="E381" i="10"/>
  <c r="H381" i="10"/>
  <c r="H365" i="10"/>
  <c r="H364" i="10"/>
  <c r="F101" i="14"/>
  <c r="J101" i="14" s="1"/>
  <c r="F96" i="14"/>
  <c r="H96" i="14" s="1"/>
  <c r="F93" i="14"/>
  <c r="J93" i="14" s="1"/>
  <c r="F92" i="14"/>
  <c r="H92" i="14" s="1"/>
  <c r="F91" i="14"/>
  <c r="H91" i="14" s="1"/>
  <c r="F90" i="14"/>
  <c r="J90" i="14" s="1"/>
  <c r="L33" i="13"/>
  <c r="M33" i="13"/>
  <c r="D83" i="14" s="1"/>
  <c r="F83" i="14" s="1"/>
  <c r="M32" i="13"/>
  <c r="M30" i="13"/>
  <c r="M29" i="13"/>
  <c r="M28" i="13"/>
  <c r="M27" i="13"/>
  <c r="M20" i="13"/>
  <c r="M18" i="13"/>
  <c r="M17" i="13"/>
  <c r="M16" i="13"/>
  <c r="M5" i="13"/>
  <c r="M6" i="13"/>
  <c r="M7" i="13"/>
  <c r="M8" i="13"/>
  <c r="M9" i="13"/>
  <c r="M10" i="13"/>
  <c r="M11" i="13"/>
  <c r="M12" i="13"/>
  <c r="M13" i="13"/>
  <c r="M14" i="13"/>
  <c r="M4" i="13"/>
  <c r="K32" i="13"/>
  <c r="J32" i="13"/>
  <c r="L32" i="13" s="1"/>
  <c r="K30" i="13"/>
  <c r="L30" i="13" s="1"/>
  <c r="J30" i="13"/>
  <c r="K29" i="13"/>
  <c r="J29" i="13"/>
  <c r="J28" i="13"/>
  <c r="L28" i="13" s="1"/>
  <c r="K27" i="13"/>
  <c r="J27" i="13"/>
  <c r="L29" i="13"/>
  <c r="L20" i="13"/>
  <c r="L18" i="13"/>
  <c r="L17" i="13"/>
  <c r="L16" i="13"/>
  <c r="L14" i="13"/>
  <c r="L13" i="13"/>
  <c r="L12" i="13"/>
  <c r="L11" i="13"/>
  <c r="L10" i="13"/>
  <c r="L9" i="13"/>
  <c r="L8" i="13"/>
  <c r="L7" i="13"/>
  <c r="L6" i="13"/>
  <c r="L5" i="13"/>
  <c r="L4" i="13"/>
  <c r="K20" i="13"/>
  <c r="J20" i="13"/>
  <c r="J18" i="13"/>
  <c r="K18" i="13"/>
  <c r="K17" i="13"/>
  <c r="J17" i="13"/>
  <c r="K16" i="13"/>
  <c r="J16" i="13"/>
  <c r="J5" i="13"/>
  <c r="K5" i="13"/>
  <c r="J6" i="13"/>
  <c r="K6" i="13"/>
  <c r="J7" i="13"/>
  <c r="K7" i="13"/>
  <c r="J8" i="13"/>
  <c r="K8" i="13"/>
  <c r="J9" i="13"/>
  <c r="K9" i="13"/>
  <c r="J10" i="13"/>
  <c r="K10" i="13"/>
  <c r="J11" i="13"/>
  <c r="K11" i="13"/>
  <c r="J12" i="13"/>
  <c r="K12" i="13"/>
  <c r="J13" i="13"/>
  <c r="K13" i="13"/>
  <c r="J14" i="13"/>
  <c r="K14" i="13"/>
  <c r="K4" i="13"/>
  <c r="J4" i="13"/>
  <c r="I79" i="14"/>
  <c r="I78" i="14"/>
  <c r="I77" i="14"/>
  <c r="J75" i="14"/>
  <c r="K75" i="14" s="1"/>
  <c r="J68" i="14"/>
  <c r="H68" i="14"/>
  <c r="F72" i="14"/>
  <c r="H72" i="14" s="1"/>
  <c r="F70" i="14"/>
  <c r="H70" i="14" s="1"/>
  <c r="D73" i="14"/>
  <c r="D74" i="14" s="1"/>
  <c r="F74" i="14" s="1"/>
  <c r="H74" i="14" s="1"/>
  <c r="F71" i="14"/>
  <c r="D69" i="14"/>
  <c r="F69" i="14" s="1"/>
  <c r="I67" i="14"/>
  <c r="I66" i="14"/>
  <c r="I65" i="14"/>
  <c r="H62" i="14"/>
  <c r="F60" i="14"/>
  <c r="H60" i="14" s="1"/>
  <c r="F59" i="14"/>
  <c r="H59" i="14" s="1"/>
  <c r="F58" i="14"/>
  <c r="J58" i="14" s="1"/>
  <c r="F57" i="14"/>
  <c r="J57" i="14" s="1"/>
  <c r="F48" i="14"/>
  <c r="H48" i="14" s="1"/>
  <c r="F47" i="14"/>
  <c r="J47" i="14" s="1"/>
  <c r="F46" i="14"/>
  <c r="H46" i="14" s="1"/>
  <c r="F44" i="14"/>
  <c r="J44" i="14" s="1"/>
  <c r="F43" i="14"/>
  <c r="J43" i="14" s="1"/>
  <c r="F42" i="14"/>
  <c r="H42" i="14" s="1"/>
  <c r="F41" i="14"/>
  <c r="H41" i="14" s="1"/>
  <c r="F40" i="14"/>
  <c r="H40" i="14" s="1"/>
  <c r="F39" i="14"/>
  <c r="H39" i="14" s="1"/>
  <c r="F38" i="14"/>
  <c r="H38" i="14" s="1"/>
  <c r="J37" i="14"/>
  <c r="K37" i="14" s="1"/>
  <c r="J49" i="14"/>
  <c r="K49" i="14" s="1"/>
  <c r="H123" i="10"/>
  <c r="H122" i="10"/>
  <c r="H121" i="10"/>
  <c r="H120" i="10"/>
  <c r="H119" i="10"/>
  <c r="H118" i="10"/>
  <c r="H117" i="10"/>
  <c r="H116" i="10"/>
  <c r="H27" i="14"/>
  <c r="D20" i="14"/>
  <c r="F20" i="14" s="1"/>
  <c r="H20" i="14" s="1"/>
  <c r="K14" i="14"/>
  <c r="K11" i="14"/>
  <c r="F11" i="14"/>
  <c r="E12" i="14"/>
  <c r="H131" i="10"/>
  <c r="H135" i="10"/>
  <c r="I135" i="10" s="1"/>
  <c r="H134" i="10"/>
  <c r="I134" i="10" s="1"/>
  <c r="H335" i="10"/>
  <c r="I334" i="10" s="1"/>
  <c r="D94" i="14" s="1"/>
  <c r="F94" i="14" s="1"/>
  <c r="A334" i="10"/>
  <c r="E331" i="10"/>
  <c r="H331" i="10" s="1"/>
  <c r="I331" i="10" s="1"/>
  <c r="E330" i="10"/>
  <c r="H330" i="10" s="1"/>
  <c r="I330" i="10" s="1"/>
  <c r="E329" i="10"/>
  <c r="H329" i="10" s="1"/>
  <c r="I329" i="10" s="1"/>
  <c r="E328" i="10"/>
  <c r="H328" i="10" s="1"/>
  <c r="I328" i="10" s="1"/>
  <c r="E327" i="10"/>
  <c r="E326" i="10"/>
  <c r="E325" i="10"/>
  <c r="H325" i="10" s="1"/>
  <c r="H332" i="10"/>
  <c r="I332" i="10" s="1"/>
  <c r="H314" i="10"/>
  <c r="I314" i="10" s="1"/>
  <c r="H322" i="10"/>
  <c r="I322" i="10" s="1"/>
  <c r="H321" i="10"/>
  <c r="I321" i="10" s="1"/>
  <c r="H320" i="10"/>
  <c r="I320" i="10" s="1"/>
  <c r="H319" i="10"/>
  <c r="I319" i="10" s="1"/>
  <c r="H318" i="10"/>
  <c r="I318" i="10" s="1"/>
  <c r="H317" i="10"/>
  <c r="I317" i="10" s="1"/>
  <c r="H316" i="10"/>
  <c r="I316" i="10" s="1"/>
  <c r="H315" i="10"/>
  <c r="I315" i="10" s="1"/>
  <c r="H313" i="10"/>
  <c r="I313" i="10" s="1"/>
  <c r="H358" i="10"/>
  <c r="H378" i="10"/>
  <c r="H377" i="10"/>
  <c r="H376" i="10"/>
  <c r="H375" i="10"/>
  <c r="H374" i="10"/>
  <c r="H373" i="10"/>
  <c r="H372" i="10"/>
  <c r="H371" i="10"/>
  <c r="H370" i="10"/>
  <c r="H367" i="10"/>
  <c r="G357" i="10"/>
  <c r="H357" i="10" s="1"/>
  <c r="H354" i="10"/>
  <c r="I354" i="10" s="1"/>
  <c r="H353" i="10"/>
  <c r="I353" i="10" s="1"/>
  <c r="G352" i="10"/>
  <c r="H352" i="10" s="1"/>
  <c r="I352" i="10" s="1"/>
  <c r="H351" i="10"/>
  <c r="I351" i="10" s="1"/>
  <c r="H363" i="10"/>
  <c r="H360" i="10"/>
  <c r="H361" i="10"/>
  <c r="E359" i="10"/>
  <c r="H362" i="10"/>
  <c r="H346" i="10"/>
  <c r="H345" i="10"/>
  <c r="H344" i="10"/>
  <c r="H343" i="10"/>
  <c r="H342" i="10"/>
  <c r="H341" i="10"/>
  <c r="H340" i="10"/>
  <c r="H339" i="10"/>
  <c r="H338" i="10"/>
  <c r="H5" i="15" l="1"/>
  <c r="I5" i="15" s="1"/>
  <c r="H18" i="15"/>
  <c r="I18" i="15" s="1"/>
  <c r="H17" i="15"/>
  <c r="I17" i="15" s="1"/>
  <c r="I53" i="15"/>
  <c r="I52" i="15" s="1"/>
  <c r="H8" i="15"/>
  <c r="I8" i="15" s="1"/>
  <c r="F9" i="15"/>
  <c r="H9" i="15" s="1"/>
  <c r="I9" i="15" s="1"/>
  <c r="H4" i="15"/>
  <c r="I4" i="15" s="1"/>
  <c r="H7" i="15"/>
  <c r="I7" i="15" s="1"/>
  <c r="K115" i="14"/>
  <c r="K123" i="14"/>
  <c r="K117" i="14"/>
  <c r="J116" i="14"/>
  <c r="K116" i="14" s="1"/>
  <c r="H122" i="14"/>
  <c r="K122" i="14"/>
  <c r="J118" i="14"/>
  <c r="K118" i="14" s="1"/>
  <c r="H111" i="14"/>
  <c r="K111" i="14" s="1"/>
  <c r="I380" i="10"/>
  <c r="D120" i="14" s="1"/>
  <c r="F120" i="14" s="1"/>
  <c r="J120" i="14" s="1"/>
  <c r="I115" i="10"/>
  <c r="D25" i="14" s="1"/>
  <c r="F25" i="14" s="1"/>
  <c r="H25" i="14" s="1"/>
  <c r="J96" i="14"/>
  <c r="K96" i="14" s="1"/>
  <c r="J94" i="14"/>
  <c r="H94" i="14"/>
  <c r="H90" i="14"/>
  <c r="K90" i="14" s="1"/>
  <c r="J91" i="14"/>
  <c r="K91" i="14" s="1"/>
  <c r="J92" i="14"/>
  <c r="K92" i="14" s="1"/>
  <c r="H101" i="14"/>
  <c r="K101" i="14" s="1"/>
  <c r="H93" i="14"/>
  <c r="K93" i="14" s="1"/>
  <c r="J83" i="14"/>
  <c r="H83" i="14"/>
  <c r="L27" i="13"/>
  <c r="J46" i="14"/>
  <c r="K46" i="14" s="1"/>
  <c r="J74" i="14"/>
  <c r="K74" i="14" s="1"/>
  <c r="F73" i="14"/>
  <c r="J73" i="14" s="1"/>
  <c r="H69" i="14"/>
  <c r="J69" i="14"/>
  <c r="H71" i="14"/>
  <c r="J71" i="14"/>
  <c r="K68" i="14"/>
  <c r="J70" i="14"/>
  <c r="K70" i="14" s="1"/>
  <c r="J72" i="14"/>
  <c r="K72" i="14" s="1"/>
  <c r="H58" i="14"/>
  <c r="K58" i="14" s="1"/>
  <c r="J42" i="14"/>
  <c r="K42" i="14" s="1"/>
  <c r="J38" i="14"/>
  <c r="K38" i="14" s="1"/>
  <c r="H57" i="14"/>
  <c r="K57" i="14" s="1"/>
  <c r="J60" i="14"/>
  <c r="K60" i="14" s="1"/>
  <c r="J39" i="14"/>
  <c r="K39" i="14" s="1"/>
  <c r="J59" i="14"/>
  <c r="K59" i="14" s="1"/>
  <c r="H47" i="14"/>
  <c r="K47" i="14" s="1"/>
  <c r="J41" i="14"/>
  <c r="K41" i="14" s="1"/>
  <c r="H43" i="14"/>
  <c r="K43" i="14" s="1"/>
  <c r="J48" i="14"/>
  <c r="K48" i="14" s="1"/>
  <c r="J40" i="14"/>
  <c r="K40" i="14" s="1"/>
  <c r="H44" i="14"/>
  <c r="K44" i="14" s="1"/>
  <c r="J20" i="14"/>
  <c r="K20" i="14" s="1"/>
  <c r="I133" i="10"/>
  <c r="D9" i="14" s="1"/>
  <c r="J9" i="14" s="1"/>
  <c r="I130" i="10"/>
  <c r="D14" i="14" s="1"/>
  <c r="F14" i="14" s="1"/>
  <c r="I131" i="10"/>
  <c r="D88" i="14"/>
  <c r="F88" i="14" s="1"/>
  <c r="D89" i="14"/>
  <c r="F89" i="14" s="1"/>
  <c r="H327" i="10"/>
  <c r="I327" i="10" s="1"/>
  <c r="H326" i="10"/>
  <c r="I326" i="10" s="1"/>
  <c r="I325" i="10"/>
  <c r="D100" i="14" s="1"/>
  <c r="F100" i="14" s="1"/>
  <c r="I312" i="10"/>
  <c r="I369" i="10"/>
  <c r="D105" i="14" s="1"/>
  <c r="I337" i="10"/>
  <c r="I2" i="15" l="1"/>
  <c r="D5" i="17" s="1"/>
  <c r="F5" i="17" s="1"/>
  <c r="H120" i="14"/>
  <c r="K120" i="14" s="1"/>
  <c r="J25" i="14"/>
  <c r="K25" i="14" s="1"/>
  <c r="H100" i="14"/>
  <c r="J100" i="14"/>
  <c r="H89" i="14"/>
  <c r="J89" i="14"/>
  <c r="K94" i="14"/>
  <c r="J88" i="14"/>
  <c r="H88" i="14"/>
  <c r="K83" i="14"/>
  <c r="H73" i="14"/>
  <c r="K73" i="14" s="1"/>
  <c r="K71" i="14"/>
  <c r="K69" i="14"/>
  <c r="H9" i="14"/>
  <c r="K9" i="14" s="1"/>
  <c r="D99" i="14"/>
  <c r="F99" i="14" s="1"/>
  <c r="D98" i="14"/>
  <c r="F98" i="14" s="1"/>
  <c r="D97" i="14"/>
  <c r="F97" i="14" s="1"/>
  <c r="D95" i="14"/>
  <c r="F95" i="14" s="1"/>
  <c r="I324" i="10"/>
  <c r="D52" i="14"/>
  <c r="F52" i="14" s="1"/>
  <c r="D51" i="14"/>
  <c r="F51" i="14" s="1"/>
  <c r="H5" i="17" l="1"/>
  <c r="J5" i="17"/>
  <c r="K88" i="14"/>
  <c r="K89" i="14"/>
  <c r="H97" i="14"/>
  <c r="J97" i="14"/>
  <c r="J98" i="14"/>
  <c r="H98" i="14"/>
  <c r="H95" i="14"/>
  <c r="J95" i="14"/>
  <c r="J99" i="14"/>
  <c r="H99" i="14"/>
  <c r="K100" i="14"/>
  <c r="J52" i="14"/>
  <c r="H52" i="14"/>
  <c r="J51" i="14"/>
  <c r="H51" i="14"/>
  <c r="D55" i="14"/>
  <c r="F55" i="14" s="1"/>
  <c r="D61" i="14"/>
  <c r="F61" i="14" s="1"/>
  <c r="D56" i="14"/>
  <c r="F56" i="14" s="1"/>
  <c r="D53" i="14"/>
  <c r="F53" i="14" s="1"/>
  <c r="D54" i="14"/>
  <c r="F54" i="14" s="1"/>
  <c r="K5" i="17" l="1"/>
  <c r="K143" i="17" s="1"/>
  <c r="D8" i="18" s="1"/>
  <c r="K99" i="14"/>
  <c r="K98" i="14"/>
  <c r="K95" i="14"/>
  <c r="K97" i="14"/>
  <c r="K52" i="14"/>
  <c r="H55" i="14"/>
  <c r="J55" i="14"/>
  <c r="H54" i="14"/>
  <c r="J54" i="14"/>
  <c r="J56" i="14"/>
  <c r="H56" i="14"/>
  <c r="K51" i="14"/>
  <c r="H53" i="14"/>
  <c r="J53" i="14"/>
  <c r="J61" i="14"/>
  <c r="H61" i="14"/>
  <c r="F8" i="18" l="1"/>
  <c r="E8" i="18"/>
  <c r="K53" i="14"/>
  <c r="K55" i="14"/>
  <c r="K56" i="14"/>
  <c r="K54" i="14"/>
  <c r="K61" i="14"/>
  <c r="D79" i="14" l="1"/>
  <c r="F79" i="14" s="1"/>
  <c r="D78" i="14"/>
  <c r="F78" i="14" s="1"/>
  <c r="D77" i="14"/>
  <c r="D65" i="14"/>
  <c r="F65" i="14" s="1"/>
  <c r="D66" i="14"/>
  <c r="F66" i="14" s="1"/>
  <c r="D67" i="14"/>
  <c r="F67" i="14" s="1"/>
  <c r="D64" i="14"/>
  <c r="F64" i="14" s="1"/>
  <c r="F212" i="10"/>
  <c r="E212" i="10"/>
  <c r="D21" i="14"/>
  <c r="F21" i="14" s="1"/>
  <c r="L184" i="10"/>
  <c r="F111" i="10"/>
  <c r="F110" i="10"/>
  <c r="E111" i="10"/>
  <c r="E110" i="10"/>
  <c r="H177" i="10"/>
  <c r="I177" i="10" s="1"/>
  <c r="H176" i="10"/>
  <c r="I176" i="10" s="1"/>
  <c r="G166" i="10"/>
  <c r="G165" i="10"/>
  <c r="G164" i="10"/>
  <c r="G163" i="10"/>
  <c r="G162" i="10"/>
  <c r="G161" i="10"/>
  <c r="G160" i="10"/>
  <c r="G159" i="10"/>
  <c r="G146" i="10"/>
  <c r="G145" i="10"/>
  <c r="G144" i="10"/>
  <c r="G143" i="10"/>
  <c r="G142" i="10"/>
  <c r="G141" i="10"/>
  <c r="G140" i="10"/>
  <c r="G139" i="10"/>
  <c r="G138" i="10"/>
  <c r="G156" i="10"/>
  <c r="G155" i="10"/>
  <c r="G154" i="10"/>
  <c r="G153" i="10"/>
  <c r="G152" i="10"/>
  <c r="G151" i="10"/>
  <c r="G150" i="10"/>
  <c r="G149" i="10"/>
  <c r="G148" i="10"/>
  <c r="G41" i="10"/>
  <c r="E41" i="10"/>
  <c r="F41" i="10"/>
  <c r="E129" i="10"/>
  <c r="D15" i="14" s="1"/>
  <c r="F15" i="14" s="1"/>
  <c r="G129" i="10"/>
  <c r="G128" i="10"/>
  <c r="H128" i="10" s="1"/>
  <c r="I128" i="10" s="1"/>
  <c r="F113" i="10"/>
  <c r="H113" i="10" s="1"/>
  <c r="I113" i="10" s="1"/>
  <c r="H51" i="10"/>
  <c r="I51" i="10" s="1"/>
  <c r="F45" i="10"/>
  <c r="F44" i="10"/>
  <c r="E45" i="10"/>
  <c r="E44" i="10"/>
  <c r="H39" i="10"/>
  <c r="I39" i="10" s="1"/>
  <c r="H38" i="10"/>
  <c r="I38" i="10" s="1"/>
  <c r="H37" i="10"/>
  <c r="I37" i="10" s="1"/>
  <c r="H36" i="10"/>
  <c r="I36" i="10" s="1"/>
  <c r="H35" i="10"/>
  <c r="I35" i="10" s="1"/>
  <c r="E291" i="10"/>
  <c r="E292" i="10" s="1"/>
  <c r="G292" i="10"/>
  <c r="G293" i="10" s="1"/>
  <c r="I291" i="10"/>
  <c r="E284" i="10"/>
  <c r="E285" i="10" s="1"/>
  <c r="G285" i="10"/>
  <c r="G286" i="10" s="1"/>
  <c r="I284" i="10"/>
  <c r="G306" i="10"/>
  <c r="E306" i="10"/>
  <c r="E307" i="10" s="1"/>
  <c r="E310" i="10" s="1"/>
  <c r="I305" i="10"/>
  <c r="H260" i="10"/>
  <c r="I260" i="10" s="1"/>
  <c r="F77" i="14" l="1"/>
  <c r="H77" i="14" s="1"/>
  <c r="D80" i="14"/>
  <c r="H66" i="14"/>
  <c r="J66" i="14"/>
  <c r="J65" i="14"/>
  <c r="H65" i="14"/>
  <c r="H67" i="14"/>
  <c r="J67" i="14"/>
  <c r="H64" i="14"/>
  <c r="J64" i="14"/>
  <c r="J78" i="14"/>
  <c r="H78" i="14"/>
  <c r="J79" i="14"/>
  <c r="H79" i="14"/>
  <c r="J21" i="14"/>
  <c r="H21" i="14"/>
  <c r="H212" i="10"/>
  <c r="I212" i="10" s="1"/>
  <c r="H111" i="10"/>
  <c r="I111" i="10" s="1"/>
  <c r="H110" i="10"/>
  <c r="I110" i="10" s="1"/>
  <c r="H129" i="10"/>
  <c r="I129" i="10" s="1"/>
  <c r="I127" i="10" s="1"/>
  <c r="D13" i="14" s="1"/>
  <c r="F13" i="14" s="1"/>
  <c r="J13" i="14" s="1"/>
  <c r="H41" i="10"/>
  <c r="I41" i="10" s="1"/>
  <c r="I50" i="10"/>
  <c r="D10" i="14" s="1"/>
  <c r="F10" i="14" s="1"/>
  <c r="H44" i="10"/>
  <c r="I44" i="10" s="1"/>
  <c r="H45" i="10"/>
  <c r="I45" i="10" s="1"/>
  <c r="H292" i="10"/>
  <c r="I292" i="10" s="1"/>
  <c r="G296" i="10"/>
  <c r="E294" i="10"/>
  <c r="D295" i="10" s="1"/>
  <c r="E293" i="10"/>
  <c r="H306" i="10"/>
  <c r="I306" i="10" s="1"/>
  <c r="G289" i="10"/>
  <c r="E287" i="10"/>
  <c r="D288" i="10" s="1"/>
  <c r="H285" i="10"/>
  <c r="I285" i="10" s="1"/>
  <c r="E286" i="10"/>
  <c r="E309" i="10"/>
  <c r="G307" i="10"/>
  <c r="D308" i="10"/>
  <c r="J77" i="14" l="1"/>
  <c r="K77" i="14" s="1"/>
  <c r="D85" i="14"/>
  <c r="F85" i="14" s="1"/>
  <c r="D84" i="14"/>
  <c r="F84" i="14" s="1"/>
  <c r="D81" i="14"/>
  <c r="K64" i="14"/>
  <c r="K79" i="14"/>
  <c r="K67" i="14"/>
  <c r="K66" i="14"/>
  <c r="K78" i="14"/>
  <c r="K65" i="14"/>
  <c r="K21" i="14"/>
  <c r="H13" i="14"/>
  <c r="E296" i="10"/>
  <c r="H296" i="10" s="1"/>
  <c r="I296" i="10" s="1"/>
  <c r="D294" i="10"/>
  <c r="H294" i="10" s="1"/>
  <c r="I294" i="10" s="1"/>
  <c r="E295" i="10"/>
  <c r="H295" i="10" s="1"/>
  <c r="I295" i="10" s="1"/>
  <c r="H293" i="10"/>
  <c r="I293" i="10" s="1"/>
  <c r="E289" i="10"/>
  <c r="H289" i="10" s="1"/>
  <c r="I289" i="10" s="1"/>
  <c r="D287" i="10"/>
  <c r="H287" i="10" s="1"/>
  <c r="I287" i="10" s="1"/>
  <c r="H286" i="10"/>
  <c r="I286" i="10" s="1"/>
  <c r="E288" i="10"/>
  <c r="H288" i="10" s="1"/>
  <c r="I288" i="10" s="1"/>
  <c r="G310" i="10"/>
  <c r="H310" i="10" s="1"/>
  <c r="I310" i="10" s="1"/>
  <c r="E308" i="10"/>
  <c r="D309" i="10" s="1"/>
  <c r="H309" i="10" s="1"/>
  <c r="I309" i="10" s="1"/>
  <c r="H307" i="10"/>
  <c r="I307" i="10" s="1"/>
  <c r="J85" i="14" l="1"/>
  <c r="H85" i="14"/>
  <c r="D82" i="14"/>
  <c r="F82" i="14" s="1"/>
  <c r="F81" i="14"/>
  <c r="J84" i="14"/>
  <c r="H84" i="14"/>
  <c r="K13" i="14"/>
  <c r="H308" i="10"/>
  <c r="I308" i="10" s="1"/>
  <c r="K84" i="14" l="1"/>
  <c r="H81" i="14"/>
  <c r="J81" i="14"/>
  <c r="H82" i="14"/>
  <c r="J82" i="14"/>
  <c r="K85" i="14"/>
  <c r="H366" i="10"/>
  <c r="H359" i="10"/>
  <c r="G350" i="10"/>
  <c r="H350" i="10" s="1"/>
  <c r="G349" i="10"/>
  <c r="H349" i="10" s="1"/>
  <c r="E298" i="10"/>
  <c r="K81" i="14" l="1"/>
  <c r="K82" i="14"/>
  <c r="I357" i="10"/>
  <c r="D107" i="14" s="1"/>
  <c r="F107" i="14" s="1"/>
  <c r="I348" i="10"/>
  <c r="G299" i="10"/>
  <c r="G300" i="10" s="1"/>
  <c r="I298" i="10"/>
  <c r="E299" i="10"/>
  <c r="G279" i="10"/>
  <c r="G280" i="10" s="1"/>
  <c r="E281" i="10" s="1"/>
  <c r="D282" i="10" s="1"/>
  <c r="I278" i="10"/>
  <c r="E279" i="10"/>
  <c r="G273" i="10"/>
  <c r="G274" i="10" s="1"/>
  <c r="E275" i="10" s="1"/>
  <c r="D276" i="10" s="1"/>
  <c r="E273" i="10"/>
  <c r="E274" i="10" s="1"/>
  <c r="I272" i="10"/>
  <c r="G267" i="10"/>
  <c r="G268" i="10" s="1"/>
  <c r="E269" i="10" s="1"/>
  <c r="D270" i="10" s="1"/>
  <c r="E267" i="10"/>
  <c r="E268" i="10" s="1"/>
  <c r="G261" i="10"/>
  <c r="G262" i="10" s="1"/>
  <c r="E263" i="10" s="1"/>
  <c r="D264" i="10" s="1"/>
  <c r="E261" i="10"/>
  <c r="F238" i="10"/>
  <c r="H238" i="10" s="1"/>
  <c r="I238" i="10" s="1"/>
  <c r="F239" i="10"/>
  <c r="H239" i="10" s="1"/>
  <c r="I239" i="10" s="1"/>
  <c r="F240" i="10"/>
  <c r="H240" i="10" s="1"/>
  <c r="I240" i="10" s="1"/>
  <c r="F241" i="10"/>
  <c r="H241" i="10" s="1"/>
  <c r="I241" i="10" s="1"/>
  <c r="F242" i="10"/>
  <c r="H242" i="10" s="1"/>
  <c r="I242" i="10" s="1"/>
  <c r="F243" i="10"/>
  <c r="H243" i="10" s="1"/>
  <c r="I243" i="10" s="1"/>
  <c r="F244" i="10"/>
  <c r="F237" i="10"/>
  <c r="H237" i="10" s="1"/>
  <c r="I237" i="10" s="1"/>
  <c r="F234" i="10"/>
  <c r="H234" i="10" s="1"/>
  <c r="I234" i="10" s="1"/>
  <c r="F233" i="10"/>
  <c r="H233" i="10" s="1"/>
  <c r="I233" i="10" s="1"/>
  <c r="F232" i="10"/>
  <c r="H232" i="10" s="1"/>
  <c r="I232" i="10" s="1"/>
  <c r="F231" i="10"/>
  <c r="H231" i="10" s="1"/>
  <c r="I231" i="10" s="1"/>
  <c r="F230" i="10"/>
  <c r="H230" i="10" s="1"/>
  <c r="I230" i="10" s="1"/>
  <c r="F229" i="10"/>
  <c r="H229" i="10" s="1"/>
  <c r="I229" i="10" s="1"/>
  <c r="F228" i="10"/>
  <c r="H228" i="10" s="1"/>
  <c r="I228" i="10" s="1"/>
  <c r="F227" i="10"/>
  <c r="H227" i="10" s="1"/>
  <c r="I227" i="10" s="1"/>
  <c r="F226" i="10"/>
  <c r="H226" i="10" s="1"/>
  <c r="I226" i="10" s="1"/>
  <c r="F218" i="10"/>
  <c r="H218" i="10" s="1"/>
  <c r="I218" i="10" s="1"/>
  <c r="F219" i="10"/>
  <c r="F220" i="10"/>
  <c r="H220" i="10" s="1"/>
  <c r="I220" i="10" s="1"/>
  <c r="F221" i="10"/>
  <c r="H221" i="10" s="1"/>
  <c r="I221" i="10" s="1"/>
  <c r="F222" i="10"/>
  <c r="H222" i="10" s="1"/>
  <c r="I222" i="10" s="1"/>
  <c r="F223" i="10"/>
  <c r="H223" i="10" s="1"/>
  <c r="I223" i="10" s="1"/>
  <c r="F217" i="10"/>
  <c r="H217" i="10" s="1"/>
  <c r="I217" i="10" s="1"/>
  <c r="E244" i="10"/>
  <c r="E219" i="10"/>
  <c r="E255" i="10"/>
  <c r="H255" i="10" s="1"/>
  <c r="I255" i="10" s="1"/>
  <c r="E253" i="10"/>
  <c r="H253" i="10" s="1"/>
  <c r="I253" i="10" s="1"/>
  <c r="E254" i="10"/>
  <c r="H254" i="10" s="1"/>
  <c r="I254" i="10" s="1"/>
  <c r="E252" i="10"/>
  <c r="H252" i="10" s="1"/>
  <c r="I252" i="10" s="1"/>
  <c r="E251" i="10"/>
  <c r="H251" i="10" s="1"/>
  <c r="I251" i="10" s="1"/>
  <c r="E250" i="10"/>
  <c r="H250" i="10" s="1"/>
  <c r="I250" i="10" s="1"/>
  <c r="H249" i="10"/>
  <c r="I249" i="10" s="1"/>
  <c r="G247" i="10"/>
  <c r="H247" i="10" s="1"/>
  <c r="I247" i="10" s="1"/>
  <c r="H248" i="10"/>
  <c r="I248" i="10" s="1"/>
  <c r="H246" i="10"/>
  <c r="I246" i="10" s="1"/>
  <c r="H202" i="10"/>
  <c r="I202" i="10" s="1"/>
  <c r="H195" i="10"/>
  <c r="I195" i="10" s="1"/>
  <c r="H196" i="10"/>
  <c r="I196" i="10" s="1"/>
  <c r="H198" i="10"/>
  <c r="I198" i="10" s="1"/>
  <c r="H199" i="10"/>
  <c r="I199" i="10" s="1"/>
  <c r="H200" i="10"/>
  <c r="I200" i="10" s="1"/>
  <c r="H201" i="10"/>
  <c r="I201" i="10" s="1"/>
  <c r="H203" i="10"/>
  <c r="I203" i="10" s="1"/>
  <c r="H204" i="10"/>
  <c r="I204" i="10" s="1"/>
  <c r="H205" i="10"/>
  <c r="I205" i="10" s="1"/>
  <c r="H206" i="10"/>
  <c r="I206" i="10" s="1"/>
  <c r="H207" i="10"/>
  <c r="I207" i="10" s="1"/>
  <c r="H208" i="10"/>
  <c r="I208" i="10" s="1"/>
  <c r="H209" i="10"/>
  <c r="I209" i="10" s="1"/>
  <c r="H210" i="10"/>
  <c r="I210" i="10" s="1"/>
  <c r="F197" i="10"/>
  <c r="H197" i="10" s="1"/>
  <c r="I197" i="10" s="1"/>
  <c r="G191" i="10"/>
  <c r="J107" i="14" l="1"/>
  <c r="H107" i="14"/>
  <c r="D104" i="14"/>
  <c r="D112" i="14"/>
  <c r="F112" i="14" s="1"/>
  <c r="D109" i="14"/>
  <c r="D108" i="14"/>
  <c r="F108" i="14" s="1"/>
  <c r="G303" i="10"/>
  <c r="E301" i="10"/>
  <c r="D302" i="10" s="1"/>
  <c r="H299" i="10"/>
  <c r="I299" i="10" s="1"/>
  <c r="D32" i="14" s="1"/>
  <c r="F32" i="14" s="1"/>
  <c r="E300" i="10"/>
  <c r="E280" i="10"/>
  <c r="H279" i="10"/>
  <c r="I279" i="10" s="1"/>
  <c r="H274" i="10"/>
  <c r="I274" i="10" s="1"/>
  <c r="E276" i="10"/>
  <c r="H276" i="10" s="1"/>
  <c r="I276" i="10" s="1"/>
  <c r="D275" i="10"/>
  <c r="H275" i="10" s="1"/>
  <c r="I275" i="10" s="1"/>
  <c r="H273" i="10"/>
  <c r="I273" i="10" s="1"/>
  <c r="H267" i="10"/>
  <c r="I267" i="10" s="1"/>
  <c r="E270" i="10"/>
  <c r="H270" i="10" s="1"/>
  <c r="I270" i="10" s="1"/>
  <c r="H268" i="10"/>
  <c r="I268" i="10" s="1"/>
  <c r="D269" i="10"/>
  <c r="H269" i="10" s="1"/>
  <c r="I269" i="10" s="1"/>
  <c r="E262" i="10"/>
  <c r="H261" i="10"/>
  <c r="I261" i="10" s="1"/>
  <c r="D28" i="14" s="1"/>
  <c r="H219" i="10"/>
  <c r="I219" i="10" s="1"/>
  <c r="H244" i="10"/>
  <c r="I244" i="10" s="1"/>
  <c r="H194" i="10"/>
  <c r="I194" i="10" s="1"/>
  <c r="I193" i="10" s="1"/>
  <c r="D23" i="14" s="1"/>
  <c r="F23" i="14" s="1"/>
  <c r="K107" i="14" l="1"/>
  <c r="D110" i="14"/>
  <c r="F110" i="14" s="1"/>
  <c r="F109" i="14"/>
  <c r="H108" i="14"/>
  <c r="J108" i="14"/>
  <c r="J112" i="14"/>
  <c r="H112" i="14"/>
  <c r="D114" i="14"/>
  <c r="F114" i="14" s="1"/>
  <c r="D113" i="14"/>
  <c r="F113" i="14" s="1"/>
  <c r="F28" i="14"/>
  <c r="J28" i="14" s="1"/>
  <c r="J32" i="14"/>
  <c r="H32" i="14"/>
  <c r="J23" i="14"/>
  <c r="H23" i="14"/>
  <c r="E303" i="10"/>
  <c r="H303" i="10" s="1"/>
  <c r="I303" i="10" s="1"/>
  <c r="D36" i="14" s="1"/>
  <c r="F36" i="14" s="1"/>
  <c r="D301" i="10"/>
  <c r="H301" i="10" s="1"/>
  <c r="I301" i="10" s="1"/>
  <c r="D34" i="14" s="1"/>
  <c r="F34" i="14" s="1"/>
  <c r="H300" i="10"/>
  <c r="I300" i="10" s="1"/>
  <c r="D33" i="14" s="1"/>
  <c r="F33" i="14" s="1"/>
  <c r="E302" i="10"/>
  <c r="H302" i="10" s="1"/>
  <c r="I302" i="10" s="1"/>
  <c r="D35" i="14" s="1"/>
  <c r="F35" i="14" s="1"/>
  <c r="E282" i="10"/>
  <c r="H282" i="10" s="1"/>
  <c r="I282" i="10" s="1"/>
  <c r="D281" i="10"/>
  <c r="H281" i="10" s="1"/>
  <c r="I281" i="10" s="1"/>
  <c r="H280" i="10"/>
  <c r="I280" i="10" s="1"/>
  <c r="H262" i="10"/>
  <c r="I262" i="10" s="1"/>
  <c r="D29" i="14" s="1"/>
  <c r="F29" i="14" s="1"/>
  <c r="E264" i="10"/>
  <c r="H264" i="10" s="1"/>
  <c r="I264" i="10" s="1"/>
  <c r="D263" i="10"/>
  <c r="H263" i="10" s="1"/>
  <c r="I263" i="10" s="1"/>
  <c r="I214" i="10"/>
  <c r="K112" i="14" l="1"/>
  <c r="K108" i="14"/>
  <c r="J113" i="14"/>
  <c r="H113" i="14"/>
  <c r="J114" i="14"/>
  <c r="H114" i="14"/>
  <c r="J109" i="14"/>
  <c r="H109" i="14"/>
  <c r="K109" i="14" s="1"/>
  <c r="J110" i="14"/>
  <c r="H110" i="14"/>
  <c r="H28" i="14"/>
  <c r="K28" i="14" s="1"/>
  <c r="K32" i="14"/>
  <c r="J34" i="14"/>
  <c r="H34" i="14"/>
  <c r="J36" i="14"/>
  <c r="H36" i="14"/>
  <c r="H29" i="14"/>
  <c r="J29" i="14"/>
  <c r="J35" i="14"/>
  <c r="H35" i="14"/>
  <c r="J33" i="14"/>
  <c r="H33" i="14"/>
  <c r="D30" i="14"/>
  <c r="F30" i="14" s="1"/>
  <c r="D31" i="14"/>
  <c r="F31" i="14" s="1"/>
  <c r="K23" i="14"/>
  <c r="H33" i="10"/>
  <c r="H32" i="10"/>
  <c r="H31" i="10"/>
  <c r="H30" i="10"/>
  <c r="H29" i="10"/>
  <c r="H28" i="10"/>
  <c r="H27" i="10"/>
  <c r="H26" i="10"/>
  <c r="H23" i="10"/>
  <c r="H22" i="10"/>
  <c r="H21" i="10"/>
  <c r="H20" i="10"/>
  <c r="H19" i="10"/>
  <c r="H18" i="10"/>
  <c r="H17" i="10"/>
  <c r="H16" i="10"/>
  <c r="H15" i="10"/>
  <c r="H12" i="10"/>
  <c r="H11" i="10"/>
  <c r="H10" i="10"/>
  <c r="H9" i="10"/>
  <c r="H7" i="10"/>
  <c r="H6" i="10"/>
  <c r="K110" i="14" l="1"/>
  <c r="K114" i="14"/>
  <c r="K113" i="14"/>
  <c r="K33" i="14"/>
  <c r="D45" i="14"/>
  <c r="F45" i="14" s="1"/>
  <c r="K36" i="14"/>
  <c r="K34" i="14"/>
  <c r="K35" i="14"/>
  <c r="K29" i="14"/>
  <c r="H31" i="14"/>
  <c r="J31" i="14"/>
  <c r="J30" i="14"/>
  <c r="H30" i="14"/>
  <c r="AA8" i="8"/>
  <c r="V999" i="8" s="1"/>
  <c r="Y30" i="12"/>
  <c r="H56" i="10"/>
  <c r="I56" i="10" s="1"/>
  <c r="H65" i="10"/>
  <c r="I65" i="10" s="1"/>
  <c r="H66" i="10"/>
  <c r="I66" i="10" s="1"/>
  <c r="H67" i="10"/>
  <c r="I67" i="10" s="1"/>
  <c r="H68" i="10"/>
  <c r="I68" i="10" s="1"/>
  <c r="H64" i="10"/>
  <c r="I64" i="10" s="1"/>
  <c r="H55" i="10"/>
  <c r="I55" i="10" s="1"/>
  <c r="H57" i="10"/>
  <c r="I57" i="10" s="1"/>
  <c r="H58" i="10"/>
  <c r="I58" i="10" s="1"/>
  <c r="H59" i="10"/>
  <c r="I59" i="10" s="1"/>
  <c r="H60" i="10"/>
  <c r="I60" i="10" s="1"/>
  <c r="H61" i="10"/>
  <c r="I61" i="10" s="1"/>
  <c r="H54" i="10"/>
  <c r="G977" i="8"/>
  <c r="G979" i="8" s="1"/>
  <c r="I989" i="8" s="1"/>
  <c r="X989" i="8" s="1"/>
  <c r="AA989" i="8" s="1"/>
  <c r="AF994" i="8"/>
  <c r="AE994" i="8"/>
  <c r="AD994" i="8"/>
  <c r="AC994" i="8"/>
  <c r="AB994" i="8"/>
  <c r="Z994" i="8"/>
  <c r="Y994" i="8"/>
  <c r="I994" i="8"/>
  <c r="R991" i="8"/>
  <c r="AF989" i="8"/>
  <c r="AE989" i="8"/>
  <c r="AD989" i="8"/>
  <c r="AC989" i="8"/>
  <c r="AB989" i="8"/>
  <c r="Z989" i="8"/>
  <c r="Y989" i="8"/>
  <c r="W989" i="8"/>
  <c r="M989" i="8"/>
  <c r="L989" i="8"/>
  <c r="S993" i="8" s="1"/>
  <c r="S988" i="8"/>
  <c r="R986" i="8"/>
  <c r="V984" i="8" s="1"/>
  <c r="AF984" i="8"/>
  <c r="AE984" i="8"/>
  <c r="AD984" i="8"/>
  <c r="AC984" i="8"/>
  <c r="AB984" i="8"/>
  <c r="Z984" i="8"/>
  <c r="Y984" i="8"/>
  <c r="W984" i="8"/>
  <c r="X984" i="8" s="1"/>
  <c r="AA984" i="8" s="1"/>
  <c r="AF979" i="8"/>
  <c r="AE979" i="8"/>
  <c r="AD979" i="8"/>
  <c r="AC979" i="8"/>
  <c r="AB979" i="8"/>
  <c r="Z979" i="8"/>
  <c r="Y979" i="8"/>
  <c r="AF972" i="8"/>
  <c r="AE972" i="8"/>
  <c r="AD972" i="8"/>
  <c r="AC972" i="8"/>
  <c r="AB972" i="8"/>
  <c r="Z972" i="8"/>
  <c r="Y972" i="8"/>
  <c r="I972" i="8"/>
  <c r="R969" i="8"/>
  <c r="AF967" i="8"/>
  <c r="AE967" i="8"/>
  <c r="AD967" i="8"/>
  <c r="AC967" i="8"/>
  <c r="AB967" i="8"/>
  <c r="Z967" i="8"/>
  <c r="Y967" i="8"/>
  <c r="W967" i="8"/>
  <c r="M967" i="8"/>
  <c r="L967" i="8"/>
  <c r="S971" i="8" s="1"/>
  <c r="S966" i="8"/>
  <c r="R964" i="8"/>
  <c r="V962" i="8" s="1"/>
  <c r="AF962" i="8"/>
  <c r="AE962" i="8"/>
  <c r="AD962" i="8"/>
  <c r="AC962" i="8"/>
  <c r="AB962" i="8"/>
  <c r="Z962" i="8"/>
  <c r="Y962" i="8"/>
  <c r="W962" i="8"/>
  <c r="X962" i="8" s="1"/>
  <c r="AA962" i="8" s="1"/>
  <c r="AF957" i="8"/>
  <c r="AE957" i="8"/>
  <c r="AD957" i="8"/>
  <c r="AC957" i="8"/>
  <c r="AB957" i="8"/>
  <c r="Z957" i="8"/>
  <c r="Y957" i="8"/>
  <c r="L957" i="8"/>
  <c r="S961" i="8" s="1"/>
  <c r="V957" i="8" s="1"/>
  <c r="G955" i="8"/>
  <c r="G957" i="8" s="1"/>
  <c r="I967" i="8" s="1"/>
  <c r="X967" i="8" s="1"/>
  <c r="AA967" i="8" s="1"/>
  <c r="AF950" i="8"/>
  <c r="AE950" i="8"/>
  <c r="AD950" i="8"/>
  <c r="AC950" i="8"/>
  <c r="AB950" i="8"/>
  <c r="Z950" i="8"/>
  <c r="Y950" i="8"/>
  <c r="R947" i="8"/>
  <c r="AF945" i="8"/>
  <c r="AE945" i="8"/>
  <c r="AD945" i="8"/>
  <c r="AC945" i="8"/>
  <c r="AB945" i="8"/>
  <c r="Z945" i="8"/>
  <c r="Y945" i="8"/>
  <c r="W945" i="8"/>
  <c r="M945" i="8"/>
  <c r="I950" i="8" s="1"/>
  <c r="L945" i="8"/>
  <c r="S949" i="8" s="1"/>
  <c r="S944" i="8"/>
  <c r="R942" i="8"/>
  <c r="V940" i="8" s="1"/>
  <c r="AF940" i="8"/>
  <c r="AE940" i="8"/>
  <c r="AD940" i="8"/>
  <c r="AC940" i="8"/>
  <c r="AB940" i="8"/>
  <c r="Z940" i="8"/>
  <c r="Y940" i="8"/>
  <c r="W940" i="8"/>
  <c r="X940" i="8" s="1"/>
  <c r="AA940" i="8" s="1"/>
  <c r="AF935" i="8"/>
  <c r="AE935" i="8"/>
  <c r="AD935" i="8"/>
  <c r="AC935" i="8"/>
  <c r="AB935" i="8"/>
  <c r="Z935" i="8"/>
  <c r="Y935" i="8"/>
  <c r="G933" i="8"/>
  <c r="G935" i="8" s="1"/>
  <c r="I945" i="8" s="1"/>
  <c r="X945" i="8" s="1"/>
  <c r="AA945" i="8" s="1"/>
  <c r="G911" i="8"/>
  <c r="AF928" i="8"/>
  <c r="AE928" i="8"/>
  <c r="AD928" i="8"/>
  <c r="AC928" i="8"/>
  <c r="AB928" i="8"/>
  <c r="Z928" i="8"/>
  <c r="Y928" i="8"/>
  <c r="I928" i="8"/>
  <c r="R925" i="8"/>
  <c r="AF923" i="8"/>
  <c r="AE923" i="8"/>
  <c r="AD923" i="8"/>
  <c r="AC923" i="8"/>
  <c r="AB923" i="8"/>
  <c r="Z923" i="8"/>
  <c r="Y923" i="8"/>
  <c r="W923" i="8"/>
  <c r="M923" i="8"/>
  <c r="L923" i="8"/>
  <c r="S927" i="8" s="1"/>
  <c r="S922" i="8"/>
  <c r="R920" i="8"/>
  <c r="V918" i="8" s="1"/>
  <c r="AF918" i="8"/>
  <c r="AE918" i="8"/>
  <c r="AD918" i="8"/>
  <c r="AC918" i="8"/>
  <c r="AB918" i="8"/>
  <c r="Z918" i="8"/>
  <c r="Y918" i="8"/>
  <c r="W918" i="8"/>
  <c r="X918" i="8" s="1"/>
  <c r="AA918" i="8" s="1"/>
  <c r="AF913" i="8"/>
  <c r="AE913" i="8"/>
  <c r="AD913" i="8"/>
  <c r="AC913" i="8"/>
  <c r="AB913" i="8"/>
  <c r="Z913" i="8"/>
  <c r="Y913" i="8"/>
  <c r="G913" i="8"/>
  <c r="I923" i="8" s="1"/>
  <c r="X923" i="8" s="1"/>
  <c r="AA923" i="8" s="1"/>
  <c r="G889" i="8"/>
  <c r="AF906" i="8"/>
  <c r="AE906" i="8"/>
  <c r="AD906" i="8"/>
  <c r="AC906" i="8"/>
  <c r="AB906" i="8"/>
  <c r="Z906" i="8"/>
  <c r="Y906" i="8"/>
  <c r="L906" i="8"/>
  <c r="W906" i="8" s="1"/>
  <c r="R903" i="8"/>
  <c r="AF901" i="8"/>
  <c r="AE901" i="8"/>
  <c r="AD901" i="8"/>
  <c r="AC901" i="8"/>
  <c r="AB901" i="8"/>
  <c r="Z901" i="8"/>
  <c r="Y901" i="8"/>
  <c r="M901" i="8"/>
  <c r="I906" i="8" s="1"/>
  <c r="L901" i="8"/>
  <c r="W901" i="8" s="1"/>
  <c r="S900" i="8"/>
  <c r="R898" i="8"/>
  <c r="AF896" i="8"/>
  <c r="AE896" i="8"/>
  <c r="AD896" i="8"/>
  <c r="AC896" i="8"/>
  <c r="AB896" i="8"/>
  <c r="Z896" i="8"/>
  <c r="Y896" i="8"/>
  <c r="X896" i="8"/>
  <c r="AA896" i="8" s="1"/>
  <c r="W896" i="8"/>
  <c r="V896" i="8"/>
  <c r="AF891" i="8"/>
  <c r="AE891" i="8"/>
  <c r="AD891" i="8"/>
  <c r="AC891" i="8"/>
  <c r="AB891" i="8"/>
  <c r="Z891" i="8"/>
  <c r="Y891" i="8"/>
  <c r="G891" i="8"/>
  <c r="I901" i="8" s="1"/>
  <c r="L891" i="8"/>
  <c r="G867" i="8"/>
  <c r="L869" i="8" s="1"/>
  <c r="S873" i="8" s="1"/>
  <c r="V869" i="8" s="1"/>
  <c r="AF884" i="8"/>
  <c r="AE884" i="8"/>
  <c r="AD884" i="8"/>
  <c r="AC884" i="8"/>
  <c r="AB884" i="8"/>
  <c r="Z884" i="8"/>
  <c r="Y884" i="8"/>
  <c r="R881" i="8"/>
  <c r="AF879" i="8"/>
  <c r="AE879" i="8"/>
  <c r="AD879" i="8"/>
  <c r="AC879" i="8"/>
  <c r="AB879" i="8"/>
  <c r="Z879" i="8"/>
  <c r="Y879" i="8"/>
  <c r="W879" i="8"/>
  <c r="M879" i="8"/>
  <c r="I884" i="8" s="1"/>
  <c r="L879" i="8"/>
  <c r="S883" i="8" s="1"/>
  <c r="S878" i="8"/>
  <c r="R876" i="8"/>
  <c r="V874" i="8" s="1"/>
  <c r="AF874" i="8"/>
  <c r="AE874" i="8"/>
  <c r="AD874" i="8"/>
  <c r="AC874" i="8"/>
  <c r="AB874" i="8"/>
  <c r="Z874" i="8"/>
  <c r="Y874" i="8"/>
  <c r="W874" i="8"/>
  <c r="X874" i="8" s="1"/>
  <c r="AA874" i="8" s="1"/>
  <c r="AF869" i="8"/>
  <c r="AE869" i="8"/>
  <c r="AD869" i="8"/>
  <c r="AC869" i="8"/>
  <c r="AB869" i="8"/>
  <c r="Z869" i="8"/>
  <c r="Y869" i="8"/>
  <c r="G869" i="8"/>
  <c r="I879" i="8" s="1"/>
  <c r="X879" i="8" s="1"/>
  <c r="AA879" i="8" s="1"/>
  <c r="G845" i="8"/>
  <c r="AF862" i="8"/>
  <c r="AE862" i="8"/>
  <c r="AD862" i="8"/>
  <c r="AC862" i="8"/>
  <c r="AB862" i="8"/>
  <c r="Z862" i="8"/>
  <c r="Y862" i="8"/>
  <c r="R859" i="8"/>
  <c r="AF857" i="8"/>
  <c r="AE857" i="8"/>
  <c r="AD857" i="8"/>
  <c r="AC857" i="8"/>
  <c r="AB857" i="8"/>
  <c r="Z857" i="8"/>
  <c r="Y857" i="8"/>
  <c r="W857" i="8"/>
  <c r="M857" i="8"/>
  <c r="I862" i="8" s="1"/>
  <c r="L857" i="8"/>
  <c r="S861" i="8" s="1"/>
  <c r="S856" i="8"/>
  <c r="R854" i="8"/>
  <c r="V852" i="8" s="1"/>
  <c r="AF852" i="8"/>
  <c r="AE852" i="8"/>
  <c r="AD852" i="8"/>
  <c r="AC852" i="8"/>
  <c r="AB852" i="8"/>
  <c r="Z852" i="8"/>
  <c r="Y852" i="8"/>
  <c r="W852" i="8"/>
  <c r="X852" i="8" s="1"/>
  <c r="AA852" i="8" s="1"/>
  <c r="AF847" i="8"/>
  <c r="AE847" i="8"/>
  <c r="AD847" i="8"/>
  <c r="AC847" i="8"/>
  <c r="AB847" i="8"/>
  <c r="Z847" i="8"/>
  <c r="Y847" i="8"/>
  <c r="G847" i="8"/>
  <c r="I857" i="8" s="1"/>
  <c r="X857" i="8" s="1"/>
  <c r="AA857" i="8" s="1"/>
  <c r="G823" i="8"/>
  <c r="AF840" i="8"/>
  <c r="AE840" i="8"/>
  <c r="AD840" i="8"/>
  <c r="AC840" i="8"/>
  <c r="AB840" i="8"/>
  <c r="Z840" i="8"/>
  <c r="Y840" i="8"/>
  <c r="I840" i="8"/>
  <c r="R837" i="8"/>
  <c r="AF835" i="8"/>
  <c r="AE835" i="8"/>
  <c r="AD835" i="8"/>
  <c r="AC835" i="8"/>
  <c r="AB835" i="8"/>
  <c r="Z835" i="8"/>
  <c r="Y835" i="8"/>
  <c r="W835" i="8"/>
  <c r="M835" i="8"/>
  <c r="L835" i="8"/>
  <c r="S839" i="8" s="1"/>
  <c r="V835" i="8" s="1"/>
  <c r="S834" i="8"/>
  <c r="R832" i="8"/>
  <c r="AF830" i="8"/>
  <c r="AE830" i="8"/>
  <c r="AD830" i="8"/>
  <c r="AC830" i="8"/>
  <c r="AB830" i="8"/>
  <c r="Z830" i="8"/>
  <c r="Y830" i="8"/>
  <c r="W830" i="8"/>
  <c r="X830" i="8" s="1"/>
  <c r="AA830" i="8" s="1"/>
  <c r="V830" i="8"/>
  <c r="AF825" i="8"/>
  <c r="AE825" i="8"/>
  <c r="AD825" i="8"/>
  <c r="AC825" i="8"/>
  <c r="AB825" i="8"/>
  <c r="Z825" i="8"/>
  <c r="Y825" i="8"/>
  <c r="G825" i="8"/>
  <c r="I835" i="8" s="1"/>
  <c r="X835" i="8" s="1"/>
  <c r="AA835" i="8" s="1"/>
  <c r="AF818" i="8"/>
  <c r="AE818" i="8"/>
  <c r="AD818" i="8"/>
  <c r="AC818" i="8"/>
  <c r="AB818" i="8"/>
  <c r="Z818" i="8"/>
  <c r="Y818" i="8"/>
  <c r="S817" i="8"/>
  <c r="R815" i="8"/>
  <c r="AF813" i="8"/>
  <c r="AE813" i="8"/>
  <c r="AD813" i="8"/>
  <c r="AC813" i="8"/>
  <c r="AB813" i="8"/>
  <c r="Z813" i="8"/>
  <c r="Y813" i="8"/>
  <c r="W813" i="8"/>
  <c r="V813" i="8"/>
  <c r="M813" i="8"/>
  <c r="I818" i="8" s="1"/>
  <c r="L813" i="8"/>
  <c r="S812" i="8"/>
  <c r="R810" i="8"/>
  <c r="AF808" i="8"/>
  <c r="AE808" i="8"/>
  <c r="AD808" i="8"/>
  <c r="AC808" i="8"/>
  <c r="AB808" i="8"/>
  <c r="Z808" i="8"/>
  <c r="Y808" i="8"/>
  <c r="W808" i="8"/>
  <c r="X808" i="8" s="1"/>
  <c r="AA808" i="8" s="1"/>
  <c r="V808" i="8"/>
  <c r="AF803" i="8"/>
  <c r="AE803" i="8"/>
  <c r="AD803" i="8"/>
  <c r="AC803" i="8"/>
  <c r="AB803" i="8"/>
  <c r="Z803" i="8"/>
  <c r="Y803" i="8"/>
  <c r="G801" i="8"/>
  <c r="L818" i="8" s="1"/>
  <c r="G779" i="8"/>
  <c r="AF796" i="8"/>
  <c r="AE796" i="8"/>
  <c r="AD796" i="8"/>
  <c r="AC796" i="8"/>
  <c r="AB796" i="8"/>
  <c r="Z796" i="8"/>
  <c r="Y796" i="8"/>
  <c r="I796" i="8"/>
  <c r="R793" i="8"/>
  <c r="AF791" i="8"/>
  <c r="AE791" i="8"/>
  <c r="AD791" i="8"/>
  <c r="AC791" i="8"/>
  <c r="AB791" i="8"/>
  <c r="Z791" i="8"/>
  <c r="Y791" i="8"/>
  <c r="W791" i="8"/>
  <c r="M791" i="8"/>
  <c r="L791" i="8"/>
  <c r="S795" i="8" s="1"/>
  <c r="V791" i="8" s="1"/>
  <c r="S790" i="8"/>
  <c r="R788" i="8"/>
  <c r="AF786" i="8"/>
  <c r="AE786" i="8"/>
  <c r="AD786" i="8"/>
  <c r="AC786" i="8"/>
  <c r="AB786" i="8"/>
  <c r="Z786" i="8"/>
  <c r="Y786" i="8"/>
  <c r="W786" i="8"/>
  <c r="X786" i="8" s="1"/>
  <c r="AA786" i="8" s="1"/>
  <c r="V786" i="8"/>
  <c r="AF781" i="8"/>
  <c r="AE781" i="8"/>
  <c r="AD781" i="8"/>
  <c r="AC781" i="8"/>
  <c r="AB781" i="8"/>
  <c r="Z781" i="8"/>
  <c r="Y781" i="8"/>
  <c r="G781" i="8"/>
  <c r="I791" i="8" s="1"/>
  <c r="X791" i="8" s="1"/>
  <c r="AA791" i="8" s="1"/>
  <c r="G757" i="8"/>
  <c r="L759" i="8" s="1"/>
  <c r="S763" i="8" s="1"/>
  <c r="V759" i="8" s="1"/>
  <c r="AF774" i="8"/>
  <c r="AE774" i="8"/>
  <c r="AD774" i="8"/>
  <c r="AC774" i="8"/>
  <c r="AB774" i="8"/>
  <c r="Z774" i="8"/>
  <c r="Y774" i="8"/>
  <c r="I774" i="8"/>
  <c r="R771" i="8"/>
  <c r="AF769" i="8"/>
  <c r="AE769" i="8"/>
  <c r="AD769" i="8"/>
  <c r="AC769" i="8"/>
  <c r="AB769" i="8"/>
  <c r="Z769" i="8"/>
  <c r="Y769" i="8"/>
  <c r="W769" i="8"/>
  <c r="M769" i="8"/>
  <c r="L769" i="8"/>
  <c r="S773" i="8" s="1"/>
  <c r="S768" i="8"/>
  <c r="R766" i="8"/>
  <c r="V764" i="8" s="1"/>
  <c r="AF764" i="8"/>
  <c r="AE764" i="8"/>
  <c r="AD764" i="8"/>
  <c r="AC764" i="8"/>
  <c r="AB764" i="8"/>
  <c r="Z764" i="8"/>
  <c r="Y764" i="8"/>
  <c r="W764" i="8"/>
  <c r="X764" i="8" s="1"/>
  <c r="AA764" i="8" s="1"/>
  <c r="AF759" i="8"/>
  <c r="AE759" i="8"/>
  <c r="AD759" i="8"/>
  <c r="AC759" i="8"/>
  <c r="AB759" i="8"/>
  <c r="Z759" i="8"/>
  <c r="Y759" i="8"/>
  <c r="G735" i="8"/>
  <c r="AF752" i="8"/>
  <c r="AE752" i="8"/>
  <c r="AD752" i="8"/>
  <c r="AC752" i="8"/>
  <c r="AB752" i="8"/>
  <c r="Z752" i="8"/>
  <c r="Y752" i="8"/>
  <c r="I752" i="8"/>
  <c r="R749" i="8"/>
  <c r="AF747" i="8"/>
  <c r="AE747" i="8"/>
  <c r="AD747" i="8"/>
  <c r="AC747" i="8"/>
  <c r="AB747" i="8"/>
  <c r="Z747" i="8"/>
  <c r="Y747" i="8"/>
  <c r="W747" i="8"/>
  <c r="M747" i="8"/>
  <c r="L747" i="8"/>
  <c r="S751" i="8" s="1"/>
  <c r="S746" i="8"/>
  <c r="R744" i="8"/>
  <c r="V742" i="8" s="1"/>
  <c r="AF742" i="8"/>
  <c r="AE742" i="8"/>
  <c r="AD742" i="8"/>
  <c r="AC742" i="8"/>
  <c r="AB742" i="8"/>
  <c r="Z742" i="8"/>
  <c r="Y742" i="8"/>
  <c r="W742" i="8"/>
  <c r="X742" i="8" s="1"/>
  <c r="AA742" i="8" s="1"/>
  <c r="AF737" i="8"/>
  <c r="AE737" i="8"/>
  <c r="AD737" i="8"/>
  <c r="AC737" i="8"/>
  <c r="AB737" i="8"/>
  <c r="Z737" i="8"/>
  <c r="Y737" i="8"/>
  <c r="G737" i="8"/>
  <c r="I747" i="8" s="1"/>
  <c r="X747" i="8" s="1"/>
  <c r="AA747" i="8" s="1"/>
  <c r="G713" i="8"/>
  <c r="L715" i="8" s="1"/>
  <c r="AF730" i="8"/>
  <c r="AE730" i="8"/>
  <c r="AD730" i="8"/>
  <c r="AC730" i="8"/>
  <c r="AB730" i="8"/>
  <c r="Z730" i="8"/>
  <c r="Y730" i="8"/>
  <c r="L730" i="8"/>
  <c r="S734" i="8" s="1"/>
  <c r="V730" i="8" s="1"/>
  <c r="I730" i="8"/>
  <c r="R727" i="8"/>
  <c r="AF725" i="8"/>
  <c r="AE725" i="8"/>
  <c r="AD725" i="8"/>
  <c r="AC725" i="8"/>
  <c r="AB725" i="8"/>
  <c r="Z725" i="8"/>
  <c r="Y725" i="8"/>
  <c r="M725" i="8"/>
  <c r="L725" i="8"/>
  <c r="W725" i="8" s="1"/>
  <c r="S724" i="8"/>
  <c r="R722" i="8"/>
  <c r="V720" i="8" s="1"/>
  <c r="AF720" i="8"/>
  <c r="AE720" i="8"/>
  <c r="AD720" i="8"/>
  <c r="AC720" i="8"/>
  <c r="AB720" i="8"/>
  <c r="Z720" i="8"/>
  <c r="Y720" i="8"/>
  <c r="W720" i="8"/>
  <c r="X720" i="8" s="1"/>
  <c r="AA720" i="8" s="1"/>
  <c r="AF715" i="8"/>
  <c r="AE715" i="8"/>
  <c r="AD715" i="8"/>
  <c r="AC715" i="8"/>
  <c r="AB715" i="8"/>
  <c r="Z715" i="8"/>
  <c r="Y715" i="8"/>
  <c r="G715" i="8"/>
  <c r="I725" i="8" s="1"/>
  <c r="X725" i="8" s="1"/>
  <c r="AA725" i="8" s="1"/>
  <c r="G691" i="8"/>
  <c r="G693" i="8" s="1"/>
  <c r="I703" i="8" s="1"/>
  <c r="X703" i="8" s="1"/>
  <c r="AA703" i="8" s="1"/>
  <c r="AF708" i="8"/>
  <c r="AE708" i="8"/>
  <c r="AD708" i="8"/>
  <c r="AC708" i="8"/>
  <c r="AB708" i="8"/>
  <c r="Z708" i="8"/>
  <c r="Y708" i="8"/>
  <c r="I708" i="8"/>
  <c r="R705" i="8"/>
  <c r="AF703" i="8"/>
  <c r="AE703" i="8"/>
  <c r="AD703" i="8"/>
  <c r="AC703" i="8"/>
  <c r="AB703" i="8"/>
  <c r="Z703" i="8"/>
  <c r="Y703" i="8"/>
  <c r="W703" i="8"/>
  <c r="M703" i="8"/>
  <c r="L703" i="8"/>
  <c r="S707" i="8" s="1"/>
  <c r="V703" i="8" s="1"/>
  <c r="S702" i="8"/>
  <c r="R700" i="8"/>
  <c r="AF698" i="8"/>
  <c r="AE698" i="8"/>
  <c r="AD698" i="8"/>
  <c r="AC698" i="8"/>
  <c r="AB698" i="8"/>
  <c r="Z698" i="8"/>
  <c r="Y698" i="8"/>
  <c r="W698" i="8"/>
  <c r="X698" i="8" s="1"/>
  <c r="AA698" i="8" s="1"/>
  <c r="V698" i="8"/>
  <c r="AF693" i="8"/>
  <c r="AE693" i="8"/>
  <c r="AD693" i="8"/>
  <c r="AC693" i="8"/>
  <c r="AB693" i="8"/>
  <c r="Z693" i="8"/>
  <c r="Y693" i="8"/>
  <c r="G669" i="8"/>
  <c r="AF686" i="8"/>
  <c r="AE686" i="8"/>
  <c r="AD686" i="8"/>
  <c r="AC686" i="8"/>
  <c r="AB686" i="8"/>
  <c r="Z686" i="8"/>
  <c r="Y686" i="8"/>
  <c r="R683" i="8"/>
  <c r="AF681" i="8"/>
  <c r="AE681" i="8"/>
  <c r="AD681" i="8"/>
  <c r="AC681" i="8"/>
  <c r="AB681" i="8"/>
  <c r="Z681" i="8"/>
  <c r="Y681" i="8"/>
  <c r="W681" i="8"/>
  <c r="M681" i="8"/>
  <c r="I686" i="8" s="1"/>
  <c r="L681" i="8"/>
  <c r="S685" i="8" s="1"/>
  <c r="S680" i="8"/>
  <c r="R678" i="8"/>
  <c r="V676" i="8" s="1"/>
  <c r="AF676" i="8"/>
  <c r="AE676" i="8"/>
  <c r="AD676" i="8"/>
  <c r="AC676" i="8"/>
  <c r="AB676" i="8"/>
  <c r="Z676" i="8"/>
  <c r="Y676" i="8"/>
  <c r="W676" i="8"/>
  <c r="X676" i="8" s="1"/>
  <c r="AA676" i="8" s="1"/>
  <c r="AF671" i="8"/>
  <c r="AE671" i="8"/>
  <c r="AD671" i="8"/>
  <c r="AC671" i="8"/>
  <c r="AB671" i="8"/>
  <c r="Z671" i="8"/>
  <c r="Y671" i="8"/>
  <c r="G671" i="8"/>
  <c r="I681" i="8" s="1"/>
  <c r="X681" i="8" s="1"/>
  <c r="AA681" i="8" s="1"/>
  <c r="G647" i="8"/>
  <c r="L664" i="8" s="1"/>
  <c r="AF664" i="8"/>
  <c r="AE664" i="8"/>
  <c r="AD664" i="8"/>
  <c r="AC664" i="8"/>
  <c r="AB664" i="8"/>
  <c r="Z664" i="8"/>
  <c r="Y664" i="8"/>
  <c r="R661" i="8"/>
  <c r="AF659" i="8"/>
  <c r="AE659" i="8"/>
  <c r="AD659" i="8"/>
  <c r="AC659" i="8"/>
  <c r="AB659" i="8"/>
  <c r="Z659" i="8"/>
  <c r="Y659" i="8"/>
  <c r="W659" i="8"/>
  <c r="M659" i="8"/>
  <c r="I664" i="8" s="1"/>
  <c r="L659" i="8"/>
  <c r="S663" i="8" s="1"/>
  <c r="V659" i="8" s="1"/>
  <c r="S658" i="8"/>
  <c r="R656" i="8"/>
  <c r="AF654" i="8"/>
  <c r="AE654" i="8"/>
  <c r="AD654" i="8"/>
  <c r="AC654" i="8"/>
  <c r="AB654" i="8"/>
  <c r="Z654" i="8"/>
  <c r="Y654" i="8"/>
  <c r="W654" i="8"/>
  <c r="X654" i="8" s="1"/>
  <c r="AA654" i="8" s="1"/>
  <c r="V654" i="8"/>
  <c r="AF649" i="8"/>
  <c r="AE649" i="8"/>
  <c r="AD649" i="8"/>
  <c r="AC649" i="8"/>
  <c r="AB649" i="8"/>
  <c r="Z649" i="8"/>
  <c r="Y649" i="8"/>
  <c r="H182" i="10"/>
  <c r="I182" i="10" s="1"/>
  <c r="H183" i="10"/>
  <c r="I183" i="10" s="1"/>
  <c r="H181" i="10"/>
  <c r="I181" i="10" s="1"/>
  <c r="H191" i="10"/>
  <c r="H174" i="10"/>
  <c r="I174" i="10" s="1"/>
  <c r="H173" i="10"/>
  <c r="I173" i="10" s="1"/>
  <c r="H172" i="10"/>
  <c r="I172" i="10" s="1"/>
  <c r="H171" i="10"/>
  <c r="I171" i="10" s="1"/>
  <c r="H170" i="10"/>
  <c r="I170" i="10" s="1"/>
  <c r="H169" i="10"/>
  <c r="I169" i="10" s="1"/>
  <c r="H166" i="10"/>
  <c r="I166" i="10" s="1"/>
  <c r="H165" i="10"/>
  <c r="I165" i="10" s="1"/>
  <c r="H164" i="10"/>
  <c r="I164" i="10" s="1"/>
  <c r="H163" i="10"/>
  <c r="I163" i="10" s="1"/>
  <c r="H162" i="10"/>
  <c r="I162" i="10" s="1"/>
  <c r="H161" i="10"/>
  <c r="I161" i="10" s="1"/>
  <c r="H160" i="10"/>
  <c r="I160" i="10" s="1"/>
  <c r="H159" i="10"/>
  <c r="I159" i="10" s="1"/>
  <c r="H150" i="10"/>
  <c r="I150" i="10" s="1"/>
  <c r="H151" i="10"/>
  <c r="I151" i="10" s="1"/>
  <c r="H152" i="10"/>
  <c r="I152" i="10" s="1"/>
  <c r="H153" i="10"/>
  <c r="I153" i="10" s="1"/>
  <c r="H154" i="10"/>
  <c r="I154" i="10" s="1"/>
  <c r="H155" i="10"/>
  <c r="I155" i="10" s="1"/>
  <c r="H156" i="10"/>
  <c r="I156" i="10" s="1"/>
  <c r="H149" i="10"/>
  <c r="I149" i="10" s="1"/>
  <c r="H148" i="10"/>
  <c r="I148" i="10" s="1"/>
  <c r="J45" i="14" l="1"/>
  <c r="H45" i="14"/>
  <c r="K30" i="14"/>
  <c r="K31" i="14"/>
  <c r="I180" i="10"/>
  <c r="D19" i="14" s="1"/>
  <c r="F19" i="14" s="1"/>
  <c r="I54" i="10"/>
  <c r="V989" i="8"/>
  <c r="L979" i="8"/>
  <c r="L994" i="8"/>
  <c r="V967" i="8"/>
  <c r="W957" i="8"/>
  <c r="X957" i="8" s="1"/>
  <c r="AA957" i="8" s="1"/>
  <c r="L972" i="8"/>
  <c r="V945" i="8"/>
  <c r="L935" i="8"/>
  <c r="L950" i="8"/>
  <c r="V923" i="8"/>
  <c r="L913" i="8"/>
  <c r="L928" i="8"/>
  <c r="X906" i="8"/>
  <c r="AA906" i="8" s="1"/>
  <c r="S895" i="8"/>
  <c r="V891" i="8" s="1"/>
  <c r="W891" i="8"/>
  <c r="X891" i="8" s="1"/>
  <c r="AA891" i="8" s="1"/>
  <c r="X901" i="8"/>
  <c r="AA901" i="8" s="1"/>
  <c r="S910" i="8"/>
  <c r="V906" i="8" s="1"/>
  <c r="S905" i="8"/>
  <c r="V901" i="8" s="1"/>
  <c r="V879" i="8"/>
  <c r="W869" i="8"/>
  <c r="X869" i="8" s="1"/>
  <c r="AA869" i="8" s="1"/>
  <c r="L884" i="8"/>
  <c r="V857" i="8"/>
  <c r="L847" i="8"/>
  <c r="L862" i="8"/>
  <c r="L825" i="8"/>
  <c r="L840" i="8"/>
  <c r="W818" i="8"/>
  <c r="S822" i="8"/>
  <c r="V818" i="8" s="1"/>
  <c r="X818" i="8"/>
  <c r="AA818" i="8" s="1"/>
  <c r="L803" i="8"/>
  <c r="G803" i="8"/>
  <c r="I813" i="8" s="1"/>
  <c r="X813" i="8" s="1"/>
  <c r="AA813" i="8" s="1"/>
  <c r="L781" i="8"/>
  <c r="L796" i="8"/>
  <c r="G759" i="8"/>
  <c r="I769" i="8" s="1"/>
  <c r="X769" i="8" s="1"/>
  <c r="AA769" i="8" s="1"/>
  <c r="V769" i="8"/>
  <c r="W759" i="8"/>
  <c r="X759" i="8" s="1"/>
  <c r="AA759" i="8" s="1"/>
  <c r="L774" i="8"/>
  <c r="V747" i="8"/>
  <c r="L737" i="8"/>
  <c r="L752" i="8"/>
  <c r="S719" i="8"/>
  <c r="V715" i="8" s="1"/>
  <c r="W715" i="8"/>
  <c r="X715" i="8" s="1"/>
  <c r="AA715" i="8" s="1"/>
  <c r="S729" i="8"/>
  <c r="V725" i="8" s="1"/>
  <c r="W730" i="8"/>
  <c r="X730" i="8" s="1"/>
  <c r="AA730" i="8" s="1"/>
  <c r="L708" i="8"/>
  <c r="L693" i="8"/>
  <c r="V681" i="8"/>
  <c r="L671" i="8"/>
  <c r="L686" i="8"/>
  <c r="W664" i="8"/>
  <c r="X664" i="8" s="1"/>
  <c r="AA664" i="8" s="1"/>
  <c r="S668" i="8"/>
  <c r="V664" i="8" s="1"/>
  <c r="L649" i="8"/>
  <c r="G649" i="8"/>
  <c r="I659" i="8" s="1"/>
  <c r="X659" i="8" s="1"/>
  <c r="AA659" i="8" s="1"/>
  <c r="I191" i="10"/>
  <c r="D24" i="14" s="1"/>
  <c r="F24" i="14" s="1"/>
  <c r="K45" i="14" l="1"/>
  <c r="J24" i="14"/>
  <c r="H24" i="14"/>
  <c r="H19" i="14"/>
  <c r="J19" i="14"/>
  <c r="S983" i="8"/>
  <c r="V979" i="8" s="1"/>
  <c r="W979" i="8"/>
  <c r="X979" i="8" s="1"/>
  <c r="AA979" i="8" s="1"/>
  <c r="S998" i="8"/>
  <c r="V994" i="8" s="1"/>
  <c r="W994" i="8"/>
  <c r="X994" i="8" s="1"/>
  <c r="AA994" i="8" s="1"/>
  <c r="S976" i="8"/>
  <c r="V972" i="8" s="1"/>
  <c r="W972" i="8"/>
  <c r="X972" i="8" s="1"/>
  <c r="AA972" i="8" s="1"/>
  <c r="S939" i="8"/>
  <c r="V935" i="8" s="1"/>
  <c r="W935" i="8"/>
  <c r="X935" i="8" s="1"/>
  <c r="AA935" i="8" s="1"/>
  <c r="S954" i="8"/>
  <c r="V950" i="8" s="1"/>
  <c r="W950" i="8"/>
  <c r="X950" i="8" s="1"/>
  <c r="AA950" i="8" s="1"/>
  <c r="S932" i="8"/>
  <c r="V928" i="8" s="1"/>
  <c r="W928" i="8"/>
  <c r="X928" i="8" s="1"/>
  <c r="AA928" i="8" s="1"/>
  <c r="S917" i="8"/>
  <c r="V913" i="8" s="1"/>
  <c r="W913" i="8"/>
  <c r="X913" i="8" s="1"/>
  <c r="AA913" i="8" s="1"/>
  <c r="S888" i="8"/>
  <c r="V884" i="8" s="1"/>
  <c r="W884" i="8"/>
  <c r="X884" i="8" s="1"/>
  <c r="AA884" i="8" s="1"/>
  <c r="S851" i="8"/>
  <c r="V847" i="8" s="1"/>
  <c r="W847" i="8"/>
  <c r="X847" i="8" s="1"/>
  <c r="AA847" i="8" s="1"/>
  <c r="S866" i="8"/>
  <c r="V862" i="8" s="1"/>
  <c r="W862" i="8"/>
  <c r="X862" i="8" s="1"/>
  <c r="AA862" i="8" s="1"/>
  <c r="S844" i="8"/>
  <c r="V840" i="8" s="1"/>
  <c r="W840" i="8"/>
  <c r="X840" i="8" s="1"/>
  <c r="AA840" i="8" s="1"/>
  <c r="S829" i="8"/>
  <c r="V825" i="8" s="1"/>
  <c r="W825" i="8"/>
  <c r="X825" i="8" s="1"/>
  <c r="AA825" i="8" s="1"/>
  <c r="S807" i="8"/>
  <c r="V803" i="8" s="1"/>
  <c r="W803" i="8"/>
  <c r="X803" i="8" s="1"/>
  <c r="AA803" i="8" s="1"/>
  <c r="S800" i="8"/>
  <c r="V796" i="8" s="1"/>
  <c r="W796" i="8"/>
  <c r="X796" i="8" s="1"/>
  <c r="AA796" i="8" s="1"/>
  <c r="S785" i="8"/>
  <c r="V781" i="8" s="1"/>
  <c r="W781" i="8"/>
  <c r="X781" i="8" s="1"/>
  <c r="AA781" i="8" s="1"/>
  <c r="S778" i="8"/>
  <c r="V774" i="8" s="1"/>
  <c r="W774" i="8"/>
  <c r="X774" i="8" s="1"/>
  <c r="AA774" i="8" s="1"/>
  <c r="S756" i="8"/>
  <c r="V752" i="8" s="1"/>
  <c r="W752" i="8"/>
  <c r="X752" i="8" s="1"/>
  <c r="AA752" i="8" s="1"/>
  <c r="S741" i="8"/>
  <c r="V737" i="8" s="1"/>
  <c r="W737" i="8"/>
  <c r="X737" i="8" s="1"/>
  <c r="AA737" i="8" s="1"/>
  <c r="S697" i="8"/>
  <c r="V693" i="8" s="1"/>
  <c r="W693" i="8"/>
  <c r="X693" i="8" s="1"/>
  <c r="AA693" i="8" s="1"/>
  <c r="S712" i="8"/>
  <c r="V708" i="8" s="1"/>
  <c r="W708" i="8"/>
  <c r="X708" i="8" s="1"/>
  <c r="AA708" i="8" s="1"/>
  <c r="S690" i="8"/>
  <c r="V686" i="8" s="1"/>
  <c r="W686" i="8"/>
  <c r="X686" i="8" s="1"/>
  <c r="AA686" i="8" s="1"/>
  <c r="S675" i="8"/>
  <c r="V671" i="8" s="1"/>
  <c r="W671" i="8"/>
  <c r="X671" i="8" s="1"/>
  <c r="AA671" i="8" s="1"/>
  <c r="S653" i="8"/>
  <c r="V649" i="8" s="1"/>
  <c r="W649" i="8"/>
  <c r="X649" i="8" s="1"/>
  <c r="AA649" i="8" s="1"/>
  <c r="K24" i="14" l="1"/>
  <c r="K19" i="14"/>
  <c r="H139" i="10"/>
  <c r="I139" i="10" s="1"/>
  <c r="H140" i="10"/>
  <c r="I140" i="10" s="1"/>
  <c r="H141" i="10"/>
  <c r="I141" i="10" s="1"/>
  <c r="H142" i="10"/>
  <c r="I142" i="10" s="1"/>
  <c r="H143" i="10"/>
  <c r="I143" i="10" s="1"/>
  <c r="H144" i="10"/>
  <c r="I144" i="10" s="1"/>
  <c r="H145" i="10"/>
  <c r="I145" i="10" s="1"/>
  <c r="H138" i="10"/>
  <c r="I138" i="10" s="1"/>
  <c r="H107" i="10"/>
  <c r="I107" i="10" s="1"/>
  <c r="H106" i="10"/>
  <c r="I106" i="10" s="1"/>
  <c r="H105" i="10"/>
  <c r="I105" i="10" s="1"/>
  <c r="H104" i="10"/>
  <c r="I104" i="10" s="1"/>
  <c r="H103" i="10"/>
  <c r="I103" i="10" s="1"/>
  <c r="H102" i="10"/>
  <c r="I102" i="10" s="1"/>
  <c r="H99" i="10"/>
  <c r="I99" i="10" s="1"/>
  <c r="H98" i="10"/>
  <c r="I98" i="10" s="1"/>
  <c r="H97" i="10"/>
  <c r="I97" i="10" s="1"/>
  <c r="H96" i="10"/>
  <c r="I96" i="10" s="1"/>
  <c r="H95" i="10"/>
  <c r="I95" i="10" s="1"/>
  <c r="H94" i="10"/>
  <c r="I94" i="10" s="1"/>
  <c r="H93" i="10"/>
  <c r="I93" i="10" s="1"/>
  <c r="H92" i="10"/>
  <c r="I92" i="10" s="1"/>
  <c r="H82" i="10"/>
  <c r="I82" i="10" s="1"/>
  <c r="H83" i="10"/>
  <c r="I83" i="10" s="1"/>
  <c r="H84" i="10"/>
  <c r="I84" i="10" s="1"/>
  <c r="H85" i="10"/>
  <c r="I85" i="10" s="1"/>
  <c r="H86" i="10"/>
  <c r="I86" i="10" s="1"/>
  <c r="H87" i="10"/>
  <c r="I87" i="10" s="1"/>
  <c r="H88" i="10"/>
  <c r="I88" i="10" s="1"/>
  <c r="H89" i="10"/>
  <c r="I89" i="10" s="1"/>
  <c r="H81" i="10"/>
  <c r="I81" i="10" s="1"/>
  <c r="H72" i="10"/>
  <c r="I72" i="10" s="1"/>
  <c r="H73" i="10"/>
  <c r="I73" i="10" s="1"/>
  <c r="H74" i="10"/>
  <c r="I74" i="10" s="1"/>
  <c r="H75" i="10"/>
  <c r="I75" i="10" s="1"/>
  <c r="H76" i="10"/>
  <c r="I76" i="10" s="1"/>
  <c r="H77" i="10"/>
  <c r="I77" i="10" s="1"/>
  <c r="H78" i="10"/>
  <c r="I78" i="10" s="1"/>
  <c r="H71" i="10"/>
  <c r="I71" i="10" l="1"/>
  <c r="I53" i="10" s="1"/>
  <c r="D12" i="14" s="1"/>
  <c r="F12" i="14" s="1"/>
  <c r="H53" i="10"/>
  <c r="I137" i="10"/>
  <c r="I32" i="10"/>
  <c r="I30" i="10"/>
  <c r="I31" i="10"/>
  <c r="I29" i="10"/>
  <c r="I33" i="10"/>
  <c r="I28" i="10"/>
  <c r="I27" i="10"/>
  <c r="I26" i="10"/>
  <c r="I18" i="10"/>
  <c r="H12" i="14" l="1"/>
  <c r="J12" i="14"/>
  <c r="E8" i="10"/>
  <c r="H8" i="10" s="1"/>
  <c r="I16" i="10"/>
  <c r="I17" i="10"/>
  <c r="I19" i="10"/>
  <c r="I20" i="10"/>
  <c r="I21" i="10"/>
  <c r="I22" i="10"/>
  <c r="I23" i="10"/>
  <c r="I15" i="10"/>
  <c r="I7" i="10"/>
  <c r="I9" i="10"/>
  <c r="I10" i="10"/>
  <c r="I11" i="10"/>
  <c r="I12" i="10"/>
  <c r="I6" i="10"/>
  <c r="K12" i="14" l="1"/>
  <c r="I8" i="10"/>
  <c r="I4" i="10" s="1"/>
  <c r="I48" i="10" s="1"/>
  <c r="D6" i="14" s="1"/>
  <c r="F6" i="14" s="1"/>
  <c r="J6" i="14" l="1"/>
  <c r="H6" i="14"/>
  <c r="D5" i="14"/>
  <c r="F5" i="14" s="1"/>
  <c r="L25" i="12"/>
  <c r="S29" i="12" s="1"/>
  <c r="V25" i="12" s="1"/>
  <c r="I25" i="12"/>
  <c r="L20" i="12"/>
  <c r="S24" i="12" s="1"/>
  <c r="V20" i="12" s="1"/>
  <c r="AF25" i="12"/>
  <c r="AE25" i="12"/>
  <c r="AD25" i="12"/>
  <c r="AC25" i="12"/>
  <c r="AB25" i="12"/>
  <c r="Z25" i="12"/>
  <c r="Y25" i="12"/>
  <c r="L15" i="12"/>
  <c r="S19" i="12" s="1"/>
  <c r="V15" i="12" s="1"/>
  <c r="I15" i="12"/>
  <c r="I20" i="12"/>
  <c r="AF20" i="12"/>
  <c r="AE20" i="12"/>
  <c r="AD20" i="12"/>
  <c r="AC20" i="12"/>
  <c r="AB20" i="12"/>
  <c r="Z20" i="12"/>
  <c r="Y20" i="12"/>
  <c r="AF15" i="12"/>
  <c r="AE15" i="12"/>
  <c r="AD15" i="12"/>
  <c r="AC15" i="12"/>
  <c r="AB15" i="12"/>
  <c r="Z15" i="12"/>
  <c r="Y15" i="12"/>
  <c r="L10" i="12"/>
  <c r="S14" i="12" s="1"/>
  <c r="V10" i="12" s="1"/>
  <c r="I10" i="12"/>
  <c r="I5" i="12"/>
  <c r="AF10" i="12"/>
  <c r="AE10" i="12"/>
  <c r="AD10" i="12"/>
  <c r="AC10" i="12"/>
  <c r="AB10" i="12"/>
  <c r="Z10" i="12"/>
  <c r="Y10" i="12"/>
  <c r="AF5" i="12"/>
  <c r="AE5" i="12"/>
  <c r="AD5" i="12"/>
  <c r="AC5" i="12"/>
  <c r="AB5" i="12"/>
  <c r="Z5" i="12"/>
  <c r="Y5" i="12"/>
  <c r="L5" i="12"/>
  <c r="S9" i="12" s="1"/>
  <c r="V5" i="12" s="1"/>
  <c r="L46" i="11"/>
  <c r="S50" i="11" s="1"/>
  <c r="V46" i="11" s="1"/>
  <c r="I46" i="11"/>
  <c r="AF46" i="11"/>
  <c r="AE46" i="11"/>
  <c r="AD46" i="11"/>
  <c r="AC46" i="11"/>
  <c r="AB46" i="11"/>
  <c r="Z46" i="11"/>
  <c r="Y46" i="11"/>
  <c r="I41" i="11"/>
  <c r="AF41" i="11"/>
  <c r="AE41" i="11"/>
  <c r="AD41" i="11"/>
  <c r="AC41" i="11"/>
  <c r="AB41" i="11"/>
  <c r="Z41" i="11"/>
  <c r="Y41" i="11"/>
  <c r="L41" i="11"/>
  <c r="S45" i="11" s="1"/>
  <c r="V41" i="11" s="1"/>
  <c r="L36" i="11"/>
  <c r="W36" i="11" s="1"/>
  <c r="I36" i="11"/>
  <c r="AF36" i="11"/>
  <c r="AE36" i="11"/>
  <c r="AD36" i="11"/>
  <c r="AC36" i="11"/>
  <c r="AB36" i="11"/>
  <c r="Z36" i="11"/>
  <c r="Y36" i="11"/>
  <c r="L31" i="11"/>
  <c r="S35" i="11" s="1"/>
  <c r="V31" i="11" s="1"/>
  <c r="I31" i="11"/>
  <c r="AF31" i="11"/>
  <c r="AE31" i="11"/>
  <c r="AD31" i="11"/>
  <c r="AC31" i="11"/>
  <c r="AB31" i="11"/>
  <c r="Z31" i="11"/>
  <c r="Y31" i="11"/>
  <c r="Y11" i="11"/>
  <c r="Z11" i="11"/>
  <c r="AB11" i="11"/>
  <c r="AC11" i="11"/>
  <c r="AD11" i="11"/>
  <c r="AE11" i="11"/>
  <c r="AF11" i="11"/>
  <c r="Y16" i="11"/>
  <c r="Z16" i="11"/>
  <c r="AB16" i="11"/>
  <c r="AC16" i="11"/>
  <c r="AD16" i="11"/>
  <c r="AE16" i="11"/>
  <c r="AF16" i="11"/>
  <c r="Y21" i="11"/>
  <c r="Z21" i="11"/>
  <c r="AB21" i="11"/>
  <c r="AC21" i="11"/>
  <c r="AD21" i="11"/>
  <c r="AE21" i="11"/>
  <c r="AF21" i="11"/>
  <c r="Y26" i="11"/>
  <c r="Z26" i="11"/>
  <c r="AB26" i="11"/>
  <c r="AC26" i="11"/>
  <c r="AD26" i="11"/>
  <c r="AE26" i="11"/>
  <c r="AF26" i="11"/>
  <c r="Z6" i="11"/>
  <c r="Y6" i="11"/>
  <c r="AB6" i="11"/>
  <c r="AC6" i="11"/>
  <c r="AD6" i="11"/>
  <c r="AE6" i="11"/>
  <c r="AF6" i="11"/>
  <c r="L26" i="11"/>
  <c r="W26" i="11" s="1"/>
  <c r="I26" i="11"/>
  <c r="I21" i="11"/>
  <c r="L21" i="11"/>
  <c r="W21" i="11"/>
  <c r="S25" i="11"/>
  <c r="V21" i="11" s="1"/>
  <c r="L16" i="11"/>
  <c r="S20" i="11" s="1"/>
  <c r="V16" i="11" s="1"/>
  <c r="L11" i="11"/>
  <c r="W11" i="11" s="1"/>
  <c r="L6" i="11"/>
  <c r="S10" i="11" s="1"/>
  <c r="V6" i="11" s="1"/>
  <c r="I16" i="11"/>
  <c r="W16" i="11"/>
  <c r="I11" i="11"/>
  <c r="S15" i="11"/>
  <c r="V11" i="11" s="1"/>
  <c r="I6" i="11"/>
  <c r="AF640" i="8"/>
  <c r="AE640" i="8"/>
  <c r="AD640" i="8"/>
  <c r="AC640" i="8"/>
  <c r="AB640" i="8"/>
  <c r="Z640" i="8"/>
  <c r="Y640" i="8"/>
  <c r="L640" i="8"/>
  <c r="S644" i="8" s="1"/>
  <c r="V640" i="8" s="1"/>
  <c r="R637" i="8"/>
  <c r="AF635" i="8"/>
  <c r="AE635" i="8"/>
  <c r="AD635" i="8"/>
  <c r="AC635" i="8"/>
  <c r="AB635" i="8"/>
  <c r="Z635" i="8"/>
  <c r="Y635" i="8"/>
  <c r="M635" i="8"/>
  <c r="I640" i="8" s="1"/>
  <c r="L635" i="8"/>
  <c r="S634" i="8"/>
  <c r="R632" i="8"/>
  <c r="AF630" i="8"/>
  <c r="AE630" i="8"/>
  <c r="AD630" i="8"/>
  <c r="AC630" i="8"/>
  <c r="AB630" i="8"/>
  <c r="Z630" i="8"/>
  <c r="Y630" i="8"/>
  <c r="W630" i="8"/>
  <c r="X630" i="8" s="1"/>
  <c r="AA630" i="8" s="1"/>
  <c r="AF625" i="8"/>
  <c r="AE625" i="8"/>
  <c r="AD625" i="8"/>
  <c r="AC625" i="8"/>
  <c r="AB625" i="8"/>
  <c r="Z625" i="8"/>
  <c r="Y625" i="8"/>
  <c r="G623" i="8"/>
  <c r="L625" i="8" s="1"/>
  <c r="S629" i="8" s="1"/>
  <c r="V625" i="8" s="1"/>
  <c r="G601" i="8"/>
  <c r="L603" i="8" s="1"/>
  <c r="S607" i="8" s="1"/>
  <c r="V603" i="8" s="1"/>
  <c r="AF618" i="8"/>
  <c r="AE618" i="8"/>
  <c r="AD618" i="8"/>
  <c r="AC618" i="8"/>
  <c r="AB618" i="8"/>
  <c r="Z618" i="8"/>
  <c r="Y618" i="8"/>
  <c r="R615" i="8"/>
  <c r="AF613" i="8"/>
  <c r="AE613" i="8"/>
  <c r="AD613" i="8"/>
  <c r="AC613" i="8"/>
  <c r="AB613" i="8"/>
  <c r="Z613" i="8"/>
  <c r="Y613" i="8"/>
  <c r="M613" i="8"/>
  <c r="I618" i="8" s="1"/>
  <c r="L613" i="8"/>
  <c r="S612" i="8"/>
  <c r="R610" i="8"/>
  <c r="AF608" i="8"/>
  <c r="AE608" i="8"/>
  <c r="AD608" i="8"/>
  <c r="AC608" i="8"/>
  <c r="AB608" i="8"/>
  <c r="Z608" i="8"/>
  <c r="Y608" i="8"/>
  <c r="W608" i="8"/>
  <c r="X608" i="8" s="1"/>
  <c r="AA608" i="8" s="1"/>
  <c r="AF603" i="8"/>
  <c r="AE603" i="8"/>
  <c r="AD603" i="8"/>
  <c r="AC603" i="8"/>
  <c r="AB603" i="8"/>
  <c r="Z603" i="8"/>
  <c r="Y603" i="8"/>
  <c r="G579" i="8"/>
  <c r="L581" i="8" s="1"/>
  <c r="S585" i="8" s="1"/>
  <c r="V581" i="8" s="1"/>
  <c r="AF596" i="8"/>
  <c r="AE596" i="8"/>
  <c r="AD596" i="8"/>
  <c r="AC596" i="8"/>
  <c r="AB596" i="8"/>
  <c r="Z596" i="8"/>
  <c r="Y596" i="8"/>
  <c r="R593" i="8"/>
  <c r="AF591" i="8"/>
  <c r="AE591" i="8"/>
  <c r="AD591" i="8"/>
  <c r="AC591" i="8"/>
  <c r="AB591" i="8"/>
  <c r="Z591" i="8"/>
  <c r="Y591" i="8"/>
  <c r="M591" i="8"/>
  <c r="I596" i="8" s="1"/>
  <c r="L591" i="8"/>
  <c r="S590" i="8"/>
  <c r="R588" i="8"/>
  <c r="AF586" i="8"/>
  <c r="AE586" i="8"/>
  <c r="AD586" i="8"/>
  <c r="AC586" i="8"/>
  <c r="AB586" i="8"/>
  <c r="Z586" i="8"/>
  <c r="Y586" i="8"/>
  <c r="W586" i="8"/>
  <c r="X586" i="8" s="1"/>
  <c r="AA586" i="8" s="1"/>
  <c r="AF581" i="8"/>
  <c r="AE581" i="8"/>
  <c r="AD581" i="8"/>
  <c r="AC581" i="8"/>
  <c r="AB581" i="8"/>
  <c r="Z581" i="8"/>
  <c r="Y581" i="8"/>
  <c r="G557" i="8"/>
  <c r="G559" i="8" s="1"/>
  <c r="I569" i="8" s="1"/>
  <c r="AF574" i="8"/>
  <c r="AE574" i="8"/>
  <c r="AD574" i="8"/>
  <c r="AC574" i="8"/>
  <c r="AB574" i="8"/>
  <c r="Z574" i="8"/>
  <c r="Y574" i="8"/>
  <c r="R571" i="8"/>
  <c r="AF569" i="8"/>
  <c r="AE569" i="8"/>
  <c r="AD569" i="8"/>
  <c r="AC569" i="8"/>
  <c r="AB569" i="8"/>
  <c r="Z569" i="8"/>
  <c r="Y569" i="8"/>
  <c r="M569" i="8"/>
  <c r="I574" i="8" s="1"/>
  <c r="L569" i="8"/>
  <c r="S568" i="8"/>
  <c r="R566" i="8"/>
  <c r="AF564" i="8"/>
  <c r="AE564" i="8"/>
  <c r="AD564" i="8"/>
  <c r="AC564" i="8"/>
  <c r="AB564" i="8"/>
  <c r="Z564" i="8"/>
  <c r="Y564" i="8"/>
  <c r="W564" i="8"/>
  <c r="X564" i="8" s="1"/>
  <c r="AA564" i="8" s="1"/>
  <c r="AF559" i="8"/>
  <c r="AE559" i="8"/>
  <c r="AD559" i="8"/>
  <c r="AC559" i="8"/>
  <c r="AB559" i="8"/>
  <c r="Z559" i="8"/>
  <c r="Y559" i="8"/>
  <c r="G535" i="8"/>
  <c r="L537" i="8" s="1"/>
  <c r="S541" i="8" s="1"/>
  <c r="V537" i="8" s="1"/>
  <c r="AF552" i="8"/>
  <c r="AE552" i="8"/>
  <c r="AD552" i="8"/>
  <c r="AC552" i="8"/>
  <c r="AB552" i="8"/>
  <c r="Z552" i="8"/>
  <c r="Y552" i="8"/>
  <c r="R549" i="8"/>
  <c r="AF547" i="8"/>
  <c r="AE547" i="8"/>
  <c r="AD547" i="8"/>
  <c r="AC547" i="8"/>
  <c r="AB547" i="8"/>
  <c r="Z547" i="8"/>
  <c r="Y547" i="8"/>
  <c r="M547" i="8"/>
  <c r="I552" i="8" s="1"/>
  <c r="L547" i="8"/>
  <c r="S546" i="8"/>
  <c r="R544" i="8"/>
  <c r="AF542" i="8"/>
  <c r="AE542" i="8"/>
  <c r="AD542" i="8"/>
  <c r="AC542" i="8"/>
  <c r="AB542" i="8"/>
  <c r="Z542" i="8"/>
  <c r="Y542" i="8"/>
  <c r="W542" i="8"/>
  <c r="X542" i="8" s="1"/>
  <c r="AA542" i="8" s="1"/>
  <c r="AF537" i="8"/>
  <c r="AE537" i="8"/>
  <c r="AD537" i="8"/>
  <c r="AC537" i="8"/>
  <c r="AB537" i="8"/>
  <c r="Z537" i="8"/>
  <c r="Y537" i="8"/>
  <c r="G513" i="8"/>
  <c r="G515" i="8" s="1"/>
  <c r="I525" i="8" s="1"/>
  <c r="AF530" i="8"/>
  <c r="AE530" i="8"/>
  <c r="AD530" i="8"/>
  <c r="AC530" i="8"/>
  <c r="AB530" i="8"/>
  <c r="Z530" i="8"/>
  <c r="Y530" i="8"/>
  <c r="R527" i="8"/>
  <c r="AF525" i="8"/>
  <c r="AE525" i="8"/>
  <c r="AD525" i="8"/>
  <c r="AC525" i="8"/>
  <c r="AB525" i="8"/>
  <c r="Z525" i="8"/>
  <c r="Y525" i="8"/>
  <c r="M525" i="8"/>
  <c r="I530" i="8" s="1"/>
  <c r="L525" i="8"/>
  <c r="S524" i="8"/>
  <c r="R522" i="8"/>
  <c r="AF520" i="8"/>
  <c r="AE520" i="8"/>
  <c r="AD520" i="8"/>
  <c r="AC520" i="8"/>
  <c r="AB520" i="8"/>
  <c r="Z520" i="8"/>
  <c r="Y520" i="8"/>
  <c r="W520" i="8"/>
  <c r="X520" i="8" s="1"/>
  <c r="AA520" i="8" s="1"/>
  <c r="AF515" i="8"/>
  <c r="AE515" i="8"/>
  <c r="AD515" i="8"/>
  <c r="AC515" i="8"/>
  <c r="AB515" i="8"/>
  <c r="Z515" i="8"/>
  <c r="Y515" i="8"/>
  <c r="G491" i="8"/>
  <c r="L508" i="8" s="1"/>
  <c r="AF508" i="8"/>
  <c r="AE508" i="8"/>
  <c r="AD508" i="8"/>
  <c r="AC508" i="8"/>
  <c r="AB508" i="8"/>
  <c r="Z508" i="8"/>
  <c r="Y508" i="8"/>
  <c r="R505" i="8"/>
  <c r="AF503" i="8"/>
  <c r="AE503" i="8"/>
  <c r="AD503" i="8"/>
  <c r="AC503" i="8"/>
  <c r="AB503" i="8"/>
  <c r="Z503" i="8"/>
  <c r="Y503" i="8"/>
  <c r="M503" i="8"/>
  <c r="I508" i="8" s="1"/>
  <c r="L503" i="8"/>
  <c r="S502" i="8"/>
  <c r="R500" i="8"/>
  <c r="AF498" i="8"/>
  <c r="AE498" i="8"/>
  <c r="AD498" i="8"/>
  <c r="AC498" i="8"/>
  <c r="AB498" i="8"/>
  <c r="Z498" i="8"/>
  <c r="Y498" i="8"/>
  <c r="W498" i="8"/>
  <c r="X498" i="8" s="1"/>
  <c r="AA498" i="8" s="1"/>
  <c r="AF493" i="8"/>
  <c r="AE493" i="8"/>
  <c r="AD493" i="8"/>
  <c r="AC493" i="8"/>
  <c r="AB493" i="8"/>
  <c r="Z493" i="8"/>
  <c r="Y493" i="8"/>
  <c r="G469" i="8"/>
  <c r="L486" i="8" s="1"/>
  <c r="AF486" i="8"/>
  <c r="AE486" i="8"/>
  <c r="AD486" i="8"/>
  <c r="AC486" i="8"/>
  <c r="AB486" i="8"/>
  <c r="Z486" i="8"/>
  <c r="Y486" i="8"/>
  <c r="R483" i="8"/>
  <c r="AF481" i="8"/>
  <c r="AE481" i="8"/>
  <c r="AD481" i="8"/>
  <c r="AC481" i="8"/>
  <c r="AB481" i="8"/>
  <c r="Z481" i="8"/>
  <c r="Y481" i="8"/>
  <c r="M481" i="8"/>
  <c r="I486" i="8" s="1"/>
  <c r="L481" i="8"/>
  <c r="S480" i="8"/>
  <c r="R478" i="8"/>
  <c r="AF476" i="8"/>
  <c r="AE476" i="8"/>
  <c r="AD476" i="8"/>
  <c r="AC476" i="8"/>
  <c r="AB476" i="8"/>
  <c r="Z476" i="8"/>
  <c r="Y476" i="8"/>
  <c r="W476" i="8"/>
  <c r="X476" i="8" s="1"/>
  <c r="AA476" i="8" s="1"/>
  <c r="AF471" i="8"/>
  <c r="AE471" i="8"/>
  <c r="AD471" i="8"/>
  <c r="AC471" i="8"/>
  <c r="AB471" i="8"/>
  <c r="Z471" i="8"/>
  <c r="Y471" i="8"/>
  <c r="G447" i="8"/>
  <c r="G449" i="8" s="1"/>
  <c r="I459" i="8" s="1"/>
  <c r="AF464" i="8"/>
  <c r="AE464" i="8"/>
  <c r="AD464" i="8"/>
  <c r="AC464" i="8"/>
  <c r="AB464" i="8"/>
  <c r="Z464" i="8"/>
  <c r="Y464" i="8"/>
  <c r="R461" i="8"/>
  <c r="AF459" i="8"/>
  <c r="AE459" i="8"/>
  <c r="AD459" i="8"/>
  <c r="AC459" i="8"/>
  <c r="AB459" i="8"/>
  <c r="Z459" i="8"/>
  <c r="Y459" i="8"/>
  <c r="M459" i="8"/>
  <c r="I464" i="8" s="1"/>
  <c r="L459" i="8"/>
  <c r="S458" i="8"/>
  <c r="R456" i="8"/>
  <c r="AF454" i="8"/>
  <c r="AE454" i="8"/>
  <c r="AD454" i="8"/>
  <c r="AC454" i="8"/>
  <c r="AB454" i="8"/>
  <c r="Z454" i="8"/>
  <c r="Y454" i="8"/>
  <c r="W454" i="8"/>
  <c r="X454" i="8" s="1"/>
  <c r="AA454" i="8" s="1"/>
  <c r="AF449" i="8"/>
  <c r="AE449" i="8"/>
  <c r="AD449" i="8"/>
  <c r="AC449" i="8"/>
  <c r="AB449" i="8"/>
  <c r="Z449" i="8"/>
  <c r="Y449" i="8"/>
  <c r="G425" i="8"/>
  <c r="L427" i="8" s="1"/>
  <c r="S431" i="8" s="1"/>
  <c r="V427" i="8" s="1"/>
  <c r="AF442" i="8"/>
  <c r="AE442" i="8"/>
  <c r="AD442" i="8"/>
  <c r="AC442" i="8"/>
  <c r="AB442" i="8"/>
  <c r="Z442" i="8"/>
  <c r="Y442" i="8"/>
  <c r="R439" i="8"/>
  <c r="AF437" i="8"/>
  <c r="AE437" i="8"/>
  <c r="AD437" i="8"/>
  <c r="AC437" i="8"/>
  <c r="AB437" i="8"/>
  <c r="Z437" i="8"/>
  <c r="Y437" i="8"/>
  <c r="M437" i="8"/>
  <c r="L437" i="8"/>
  <c r="S436" i="8"/>
  <c r="R434" i="8"/>
  <c r="AF432" i="8"/>
  <c r="AE432" i="8"/>
  <c r="AD432" i="8"/>
  <c r="AC432" i="8"/>
  <c r="AB432" i="8"/>
  <c r="Z432" i="8"/>
  <c r="Y432" i="8"/>
  <c r="W432" i="8"/>
  <c r="X432" i="8" s="1"/>
  <c r="AA432" i="8" s="1"/>
  <c r="AF427" i="8"/>
  <c r="AE427" i="8"/>
  <c r="AD427" i="8"/>
  <c r="AC427" i="8"/>
  <c r="AB427" i="8"/>
  <c r="Z427" i="8"/>
  <c r="Y427" i="8"/>
  <c r="G403" i="8"/>
  <c r="L405" i="8" s="1"/>
  <c r="S409" i="8" s="1"/>
  <c r="V405" i="8" s="1"/>
  <c r="AF420" i="8"/>
  <c r="AE420" i="8"/>
  <c r="AD420" i="8"/>
  <c r="AC420" i="8"/>
  <c r="AB420" i="8"/>
  <c r="Z420" i="8"/>
  <c r="Y420" i="8"/>
  <c r="R417" i="8"/>
  <c r="AF415" i="8"/>
  <c r="AE415" i="8"/>
  <c r="AD415" i="8"/>
  <c r="AC415" i="8"/>
  <c r="AB415" i="8"/>
  <c r="Z415" i="8"/>
  <c r="Y415" i="8"/>
  <c r="M415" i="8"/>
  <c r="I420" i="8" s="1"/>
  <c r="L415" i="8"/>
  <c r="S414" i="8"/>
  <c r="R412" i="8"/>
  <c r="AF410" i="8"/>
  <c r="AE410" i="8"/>
  <c r="AD410" i="8"/>
  <c r="AC410" i="8"/>
  <c r="AB410" i="8"/>
  <c r="Z410" i="8"/>
  <c r="Y410" i="8"/>
  <c r="W410" i="8"/>
  <c r="X410" i="8" s="1"/>
  <c r="AA410" i="8" s="1"/>
  <c r="AF405" i="8"/>
  <c r="AE405" i="8"/>
  <c r="AD405" i="8"/>
  <c r="AC405" i="8"/>
  <c r="AB405" i="8"/>
  <c r="Z405" i="8"/>
  <c r="Y405" i="8"/>
  <c r="G381" i="8"/>
  <c r="L383" i="8" s="1"/>
  <c r="S387" i="8" s="1"/>
  <c r="V383" i="8" s="1"/>
  <c r="AF398" i="8"/>
  <c r="AE398" i="8"/>
  <c r="AD398" i="8"/>
  <c r="AC398" i="8"/>
  <c r="AB398" i="8"/>
  <c r="Z398" i="8"/>
  <c r="Y398" i="8"/>
  <c r="R395" i="8"/>
  <c r="AF393" i="8"/>
  <c r="AE393" i="8"/>
  <c r="AD393" i="8"/>
  <c r="AC393" i="8"/>
  <c r="AB393" i="8"/>
  <c r="Z393" i="8"/>
  <c r="Y393" i="8"/>
  <c r="M393" i="8"/>
  <c r="I398" i="8" s="1"/>
  <c r="L393" i="8"/>
  <c r="S392" i="8"/>
  <c r="R390" i="8"/>
  <c r="AF388" i="8"/>
  <c r="AE388" i="8"/>
  <c r="AD388" i="8"/>
  <c r="AC388" i="8"/>
  <c r="AB388" i="8"/>
  <c r="Z388" i="8"/>
  <c r="Y388" i="8"/>
  <c r="W388" i="8"/>
  <c r="X388" i="8" s="1"/>
  <c r="AA388" i="8" s="1"/>
  <c r="AF383" i="8"/>
  <c r="AE383" i="8"/>
  <c r="AD383" i="8"/>
  <c r="AC383" i="8"/>
  <c r="AB383" i="8"/>
  <c r="Z383" i="8"/>
  <c r="Y383" i="8"/>
  <c r="G359" i="8"/>
  <c r="L361" i="8" s="1"/>
  <c r="S365" i="8" s="1"/>
  <c r="V361" i="8" s="1"/>
  <c r="AF376" i="8"/>
  <c r="AE376" i="8"/>
  <c r="AD376" i="8"/>
  <c r="AC376" i="8"/>
  <c r="AB376" i="8"/>
  <c r="Z376" i="8"/>
  <c r="Y376" i="8"/>
  <c r="R373" i="8"/>
  <c r="AF371" i="8"/>
  <c r="AE371" i="8"/>
  <c r="AD371" i="8"/>
  <c r="AC371" i="8"/>
  <c r="AB371" i="8"/>
  <c r="Z371" i="8"/>
  <c r="Y371" i="8"/>
  <c r="M371" i="8"/>
  <c r="I376" i="8" s="1"/>
  <c r="L371" i="8"/>
  <c r="S370" i="8"/>
  <c r="R368" i="8"/>
  <c r="AF366" i="8"/>
  <c r="AE366" i="8"/>
  <c r="AD366" i="8"/>
  <c r="AC366" i="8"/>
  <c r="AB366" i="8"/>
  <c r="Z366" i="8"/>
  <c r="Y366" i="8"/>
  <c r="W366" i="8"/>
  <c r="X366" i="8" s="1"/>
  <c r="AA366" i="8" s="1"/>
  <c r="AF361" i="8"/>
  <c r="AE361" i="8"/>
  <c r="AD361" i="8"/>
  <c r="AC361" i="8"/>
  <c r="AB361" i="8"/>
  <c r="Z361" i="8"/>
  <c r="Y361" i="8"/>
  <c r="G337" i="8"/>
  <c r="G339" i="8" s="1"/>
  <c r="I349" i="8" s="1"/>
  <c r="AF354" i="8"/>
  <c r="AE354" i="8"/>
  <c r="AD354" i="8"/>
  <c r="AC354" i="8"/>
  <c r="AB354" i="8"/>
  <c r="Z354" i="8"/>
  <c r="Y354" i="8"/>
  <c r="R351" i="8"/>
  <c r="AF349" i="8"/>
  <c r="AE349" i="8"/>
  <c r="AD349" i="8"/>
  <c r="AC349" i="8"/>
  <c r="AB349" i="8"/>
  <c r="Z349" i="8"/>
  <c r="Y349" i="8"/>
  <c r="M349" i="8"/>
  <c r="I354" i="8" s="1"/>
  <c r="L349" i="8"/>
  <c r="S348" i="8"/>
  <c r="R346" i="8"/>
  <c r="AF344" i="8"/>
  <c r="AE344" i="8"/>
  <c r="AD344" i="8"/>
  <c r="AC344" i="8"/>
  <c r="AB344" i="8"/>
  <c r="Z344" i="8"/>
  <c r="Y344" i="8"/>
  <c r="W344" i="8"/>
  <c r="X344" i="8" s="1"/>
  <c r="AA344" i="8" s="1"/>
  <c r="AF339" i="8"/>
  <c r="AE339" i="8"/>
  <c r="AD339" i="8"/>
  <c r="AC339" i="8"/>
  <c r="AB339" i="8"/>
  <c r="Z339" i="8"/>
  <c r="Y339" i="8"/>
  <c r="G315" i="8"/>
  <c r="L332" i="8" s="1"/>
  <c r="AF332" i="8"/>
  <c r="AE332" i="8"/>
  <c r="AD332" i="8"/>
  <c r="AC332" i="8"/>
  <c r="AB332" i="8"/>
  <c r="Z332" i="8"/>
  <c r="Y332" i="8"/>
  <c r="R329" i="8"/>
  <c r="AF327" i="8"/>
  <c r="AE327" i="8"/>
  <c r="AD327" i="8"/>
  <c r="AC327" i="8"/>
  <c r="AB327" i="8"/>
  <c r="Z327" i="8"/>
  <c r="Y327" i="8"/>
  <c r="M327" i="8"/>
  <c r="I332" i="8" s="1"/>
  <c r="L327" i="8"/>
  <c r="S326" i="8"/>
  <c r="R324" i="8"/>
  <c r="AF322" i="8"/>
  <c r="AE322" i="8"/>
  <c r="AD322" i="8"/>
  <c r="AC322" i="8"/>
  <c r="AB322" i="8"/>
  <c r="Z322" i="8"/>
  <c r="Y322" i="8"/>
  <c r="W322" i="8"/>
  <c r="X322" i="8" s="1"/>
  <c r="AA322" i="8" s="1"/>
  <c r="AF317" i="8"/>
  <c r="AE317" i="8"/>
  <c r="AD317" i="8"/>
  <c r="AC317" i="8"/>
  <c r="AB317" i="8"/>
  <c r="Z317" i="8"/>
  <c r="Y317" i="8"/>
  <c r="G293" i="8"/>
  <c r="G295" i="8" s="1"/>
  <c r="I305" i="8" s="1"/>
  <c r="AF310" i="8"/>
  <c r="AE310" i="8"/>
  <c r="AD310" i="8"/>
  <c r="AC310" i="8"/>
  <c r="AB310" i="8"/>
  <c r="Z310" i="8"/>
  <c r="Y310" i="8"/>
  <c r="R307" i="8"/>
  <c r="AF305" i="8"/>
  <c r="AE305" i="8"/>
  <c r="AD305" i="8"/>
  <c r="AC305" i="8"/>
  <c r="AB305" i="8"/>
  <c r="Z305" i="8"/>
  <c r="Y305" i="8"/>
  <c r="M305" i="8"/>
  <c r="I310" i="8" s="1"/>
  <c r="L305" i="8"/>
  <c r="S304" i="8"/>
  <c r="R302" i="8"/>
  <c r="AF300" i="8"/>
  <c r="AE300" i="8"/>
  <c r="AD300" i="8"/>
  <c r="AC300" i="8"/>
  <c r="AB300" i="8"/>
  <c r="Z300" i="8"/>
  <c r="Y300" i="8"/>
  <c r="W300" i="8"/>
  <c r="X300" i="8" s="1"/>
  <c r="AA300" i="8" s="1"/>
  <c r="AF295" i="8"/>
  <c r="AE295" i="8"/>
  <c r="AD295" i="8"/>
  <c r="AC295" i="8"/>
  <c r="AB295" i="8"/>
  <c r="Z295" i="8"/>
  <c r="Y295" i="8"/>
  <c r="G271" i="8"/>
  <c r="L288" i="8" s="1"/>
  <c r="AF288" i="8"/>
  <c r="AE288" i="8"/>
  <c r="AD288" i="8"/>
  <c r="AC288" i="8"/>
  <c r="AB288" i="8"/>
  <c r="Z288" i="8"/>
  <c r="Y288" i="8"/>
  <c r="R285" i="8"/>
  <c r="AF283" i="8"/>
  <c r="AE283" i="8"/>
  <c r="AD283" i="8"/>
  <c r="AC283" i="8"/>
  <c r="AB283" i="8"/>
  <c r="Z283" i="8"/>
  <c r="Y283" i="8"/>
  <c r="M283" i="8"/>
  <c r="I288" i="8" s="1"/>
  <c r="L283" i="8"/>
  <c r="S282" i="8"/>
  <c r="R280" i="8"/>
  <c r="AF278" i="8"/>
  <c r="AE278" i="8"/>
  <c r="AD278" i="8"/>
  <c r="AC278" i="8"/>
  <c r="AB278" i="8"/>
  <c r="Z278" i="8"/>
  <c r="Y278" i="8"/>
  <c r="W278" i="8"/>
  <c r="X278" i="8" s="1"/>
  <c r="AA278" i="8" s="1"/>
  <c r="AF273" i="8"/>
  <c r="AE273" i="8"/>
  <c r="AD273" i="8"/>
  <c r="AC273" i="8"/>
  <c r="AB273" i="8"/>
  <c r="Z273" i="8"/>
  <c r="Y273" i="8"/>
  <c r="AF266" i="8"/>
  <c r="AE266" i="8"/>
  <c r="AD266" i="8"/>
  <c r="AC266" i="8"/>
  <c r="AB266" i="8"/>
  <c r="Z266" i="8"/>
  <c r="Y266" i="8"/>
  <c r="R263" i="8"/>
  <c r="AF261" i="8"/>
  <c r="AE261" i="8"/>
  <c r="AD261" i="8"/>
  <c r="AC261" i="8"/>
  <c r="AB261" i="8"/>
  <c r="Z261" i="8"/>
  <c r="Y261" i="8"/>
  <c r="M261" i="8"/>
  <c r="I266" i="8" s="1"/>
  <c r="L261" i="8"/>
  <c r="S260" i="8"/>
  <c r="R258" i="8"/>
  <c r="AF256" i="8"/>
  <c r="AE256" i="8"/>
  <c r="AD256" i="8"/>
  <c r="AC256" i="8"/>
  <c r="AB256" i="8"/>
  <c r="Z256" i="8"/>
  <c r="Y256" i="8"/>
  <c r="W256" i="8"/>
  <c r="X256" i="8" s="1"/>
  <c r="AA256" i="8" s="1"/>
  <c r="AF251" i="8"/>
  <c r="AE251" i="8"/>
  <c r="AD251" i="8"/>
  <c r="AC251" i="8"/>
  <c r="AB251" i="8"/>
  <c r="Z251" i="8"/>
  <c r="Y251" i="8"/>
  <c r="G249" i="8"/>
  <c r="G251" i="8" s="1"/>
  <c r="I261" i="8" s="1"/>
  <c r="G227" i="8"/>
  <c r="G229" i="8" s="1"/>
  <c r="I239" i="8" s="1"/>
  <c r="AF244" i="8"/>
  <c r="AE244" i="8"/>
  <c r="AD244" i="8"/>
  <c r="AC244" i="8"/>
  <c r="AB244" i="8"/>
  <c r="Z244" i="8"/>
  <c r="Y244" i="8"/>
  <c r="R241" i="8"/>
  <c r="AF239" i="8"/>
  <c r="AE239" i="8"/>
  <c r="AD239" i="8"/>
  <c r="AC239" i="8"/>
  <c r="AB239" i="8"/>
  <c r="Z239" i="8"/>
  <c r="Y239" i="8"/>
  <c r="M239" i="8"/>
  <c r="I244" i="8" s="1"/>
  <c r="L239" i="8"/>
  <c r="S238" i="8"/>
  <c r="R236" i="8"/>
  <c r="AF234" i="8"/>
  <c r="AE234" i="8"/>
  <c r="AD234" i="8"/>
  <c r="AC234" i="8"/>
  <c r="AB234" i="8"/>
  <c r="Z234" i="8"/>
  <c r="Y234" i="8"/>
  <c r="W234" i="8"/>
  <c r="X234" i="8" s="1"/>
  <c r="AA234" i="8" s="1"/>
  <c r="AF229" i="8"/>
  <c r="AE229" i="8"/>
  <c r="AD229" i="8"/>
  <c r="AC229" i="8"/>
  <c r="AB229" i="8"/>
  <c r="Z229" i="8"/>
  <c r="Y229" i="8"/>
  <c r="G205" i="8"/>
  <c r="G207" i="8" s="1"/>
  <c r="I217" i="8" s="1"/>
  <c r="AF222" i="8"/>
  <c r="AE222" i="8"/>
  <c r="AD222" i="8"/>
  <c r="AC222" i="8"/>
  <c r="AB222" i="8"/>
  <c r="Z222" i="8"/>
  <c r="Y222" i="8"/>
  <c r="R219" i="8"/>
  <c r="AF217" i="8"/>
  <c r="AE217" i="8"/>
  <c r="AD217" i="8"/>
  <c r="AC217" i="8"/>
  <c r="AB217" i="8"/>
  <c r="Z217" i="8"/>
  <c r="Y217" i="8"/>
  <c r="M217" i="8"/>
  <c r="I222" i="8" s="1"/>
  <c r="L217" i="8"/>
  <c r="S216" i="8"/>
  <c r="R214" i="8"/>
  <c r="AF212" i="8"/>
  <c r="AE212" i="8"/>
  <c r="AD212" i="8"/>
  <c r="AC212" i="8"/>
  <c r="AB212" i="8"/>
  <c r="Z212" i="8"/>
  <c r="Y212" i="8"/>
  <c r="W212" i="8"/>
  <c r="X212" i="8" s="1"/>
  <c r="AA212" i="8" s="1"/>
  <c r="AF207" i="8"/>
  <c r="AE207" i="8"/>
  <c r="AD207" i="8"/>
  <c r="AC207" i="8"/>
  <c r="AB207" i="8"/>
  <c r="Z207" i="8"/>
  <c r="Y207" i="8"/>
  <c r="G183" i="8"/>
  <c r="G185" i="8" s="1"/>
  <c r="I195" i="8" s="1"/>
  <c r="AF200" i="8"/>
  <c r="AE200" i="8"/>
  <c r="AD200" i="8"/>
  <c r="AC200" i="8"/>
  <c r="AB200" i="8"/>
  <c r="Z200" i="8"/>
  <c r="Y200" i="8"/>
  <c r="R197" i="8"/>
  <c r="AF195" i="8"/>
  <c r="AE195" i="8"/>
  <c r="AD195" i="8"/>
  <c r="AC195" i="8"/>
  <c r="AB195" i="8"/>
  <c r="Z195" i="8"/>
  <c r="Y195" i="8"/>
  <c r="M195" i="8"/>
  <c r="I200" i="8" s="1"/>
  <c r="L195" i="8"/>
  <c r="S194" i="8"/>
  <c r="R192" i="8"/>
  <c r="AF190" i="8"/>
  <c r="AE190" i="8"/>
  <c r="AD190" i="8"/>
  <c r="AC190" i="8"/>
  <c r="AB190" i="8"/>
  <c r="Z190" i="8"/>
  <c r="Y190" i="8"/>
  <c r="W190" i="8"/>
  <c r="X190" i="8" s="1"/>
  <c r="AA190" i="8" s="1"/>
  <c r="AF185" i="8"/>
  <c r="AE185" i="8"/>
  <c r="AD185" i="8"/>
  <c r="AC185" i="8"/>
  <c r="AB185" i="8"/>
  <c r="Z185" i="8"/>
  <c r="Y185" i="8"/>
  <c r="G161" i="8"/>
  <c r="L163" i="8" s="1"/>
  <c r="S167" i="8" s="1"/>
  <c r="V163" i="8" s="1"/>
  <c r="AF178" i="8"/>
  <c r="AE178" i="8"/>
  <c r="AD178" i="8"/>
  <c r="AC178" i="8"/>
  <c r="AB178" i="8"/>
  <c r="Z178" i="8"/>
  <c r="Y178" i="8"/>
  <c r="R175" i="8"/>
  <c r="AF173" i="8"/>
  <c r="AE173" i="8"/>
  <c r="AD173" i="8"/>
  <c r="AC173" i="8"/>
  <c r="AB173" i="8"/>
  <c r="Z173" i="8"/>
  <c r="Y173" i="8"/>
  <c r="M173" i="8"/>
  <c r="I178" i="8" s="1"/>
  <c r="L173" i="8"/>
  <c r="S172" i="8"/>
  <c r="R170" i="8"/>
  <c r="AF168" i="8"/>
  <c r="AE168" i="8"/>
  <c r="AD168" i="8"/>
  <c r="AC168" i="8"/>
  <c r="AB168" i="8"/>
  <c r="Z168" i="8"/>
  <c r="Y168" i="8"/>
  <c r="W168" i="8"/>
  <c r="X168" i="8" s="1"/>
  <c r="AA168" i="8" s="1"/>
  <c r="AF163" i="8"/>
  <c r="AE163" i="8"/>
  <c r="AD163" i="8"/>
  <c r="AC163" i="8"/>
  <c r="AB163" i="8"/>
  <c r="Z163" i="8"/>
  <c r="Y163" i="8"/>
  <c r="AF156" i="8"/>
  <c r="AE156" i="8"/>
  <c r="AD156" i="8"/>
  <c r="AC156" i="8"/>
  <c r="AB156" i="8"/>
  <c r="Z156" i="8"/>
  <c r="Y156" i="8"/>
  <c r="R153" i="8"/>
  <c r="AF151" i="8"/>
  <c r="AE151" i="8"/>
  <c r="AD151" i="8"/>
  <c r="AC151" i="8"/>
  <c r="AB151" i="8"/>
  <c r="Z151" i="8"/>
  <c r="Y151" i="8"/>
  <c r="M151" i="8"/>
  <c r="I156" i="8" s="1"/>
  <c r="L151" i="8"/>
  <c r="S150" i="8"/>
  <c r="R148" i="8"/>
  <c r="AF146" i="8"/>
  <c r="AE146" i="8"/>
  <c r="AD146" i="8"/>
  <c r="AC146" i="8"/>
  <c r="AB146" i="8"/>
  <c r="Z146" i="8"/>
  <c r="Y146" i="8"/>
  <c r="W146" i="8"/>
  <c r="X146" i="8" s="1"/>
  <c r="AA146" i="8" s="1"/>
  <c r="AF141" i="8"/>
  <c r="AE141" i="8"/>
  <c r="AD141" i="8"/>
  <c r="AC141" i="8"/>
  <c r="AB141" i="8"/>
  <c r="Z141" i="8"/>
  <c r="Y141" i="8"/>
  <c r="G139" i="8"/>
  <c r="G141" i="8" s="1"/>
  <c r="I151" i="8" s="1"/>
  <c r="G117" i="8"/>
  <c r="G119" i="8" s="1"/>
  <c r="I129" i="8" s="1"/>
  <c r="AF134" i="8"/>
  <c r="AE134" i="8"/>
  <c r="AD134" i="8"/>
  <c r="AC134" i="8"/>
  <c r="AB134" i="8"/>
  <c r="Z134" i="8"/>
  <c r="Y134" i="8"/>
  <c r="R131" i="8"/>
  <c r="AF129" i="8"/>
  <c r="AE129" i="8"/>
  <c r="AD129" i="8"/>
  <c r="AC129" i="8"/>
  <c r="AB129" i="8"/>
  <c r="Z129" i="8"/>
  <c r="Y129" i="8"/>
  <c r="M129" i="8"/>
  <c r="I134" i="8" s="1"/>
  <c r="L129" i="8"/>
  <c r="S128" i="8"/>
  <c r="R126" i="8"/>
  <c r="AF124" i="8"/>
  <c r="AE124" i="8"/>
  <c r="AD124" i="8"/>
  <c r="AC124" i="8"/>
  <c r="AB124" i="8"/>
  <c r="Z124" i="8"/>
  <c r="Y124" i="8"/>
  <c r="W124" i="8"/>
  <c r="X124" i="8" s="1"/>
  <c r="AA124" i="8" s="1"/>
  <c r="AF119" i="8"/>
  <c r="AE119" i="8"/>
  <c r="AD119" i="8"/>
  <c r="AC119" i="8"/>
  <c r="AB119" i="8"/>
  <c r="Z119" i="8"/>
  <c r="Y119" i="8"/>
  <c r="G95" i="8"/>
  <c r="L97" i="8" s="1"/>
  <c r="S101" i="8" s="1"/>
  <c r="V97" i="8" s="1"/>
  <c r="AF112" i="8"/>
  <c r="AE112" i="8"/>
  <c r="AD112" i="8"/>
  <c r="AC112" i="8"/>
  <c r="AB112" i="8"/>
  <c r="Z112" i="8"/>
  <c r="Y112" i="8"/>
  <c r="R109" i="8"/>
  <c r="AF107" i="8"/>
  <c r="AE107" i="8"/>
  <c r="AD107" i="8"/>
  <c r="AC107" i="8"/>
  <c r="AB107" i="8"/>
  <c r="Z107" i="8"/>
  <c r="Y107" i="8"/>
  <c r="M107" i="8"/>
  <c r="L107" i="8"/>
  <c r="S106" i="8"/>
  <c r="R104" i="8"/>
  <c r="AF102" i="8"/>
  <c r="AE102" i="8"/>
  <c r="AD102" i="8"/>
  <c r="AC102" i="8"/>
  <c r="AB102" i="8"/>
  <c r="Z102" i="8"/>
  <c r="Y102" i="8"/>
  <c r="W102" i="8"/>
  <c r="X102" i="8" s="1"/>
  <c r="AA102" i="8" s="1"/>
  <c r="AF97" i="8"/>
  <c r="AE97" i="8"/>
  <c r="AD97" i="8"/>
  <c r="AC97" i="8"/>
  <c r="AB97" i="8"/>
  <c r="Z97" i="8"/>
  <c r="Y97" i="8"/>
  <c r="AF90" i="8"/>
  <c r="AE90" i="8"/>
  <c r="AD90" i="8"/>
  <c r="AC90" i="8"/>
  <c r="AB90" i="8"/>
  <c r="Z90" i="8"/>
  <c r="Y90" i="8"/>
  <c r="G73" i="8"/>
  <c r="L90" i="8" s="1"/>
  <c r="R87" i="8"/>
  <c r="AF85" i="8"/>
  <c r="AE85" i="8"/>
  <c r="AD85" i="8"/>
  <c r="AC85" i="8"/>
  <c r="AB85" i="8"/>
  <c r="Z85" i="8"/>
  <c r="Y85" i="8"/>
  <c r="M85" i="8"/>
  <c r="L85" i="8"/>
  <c r="S84" i="8"/>
  <c r="R82" i="8"/>
  <c r="AF80" i="8"/>
  <c r="AE80" i="8"/>
  <c r="AD80" i="8"/>
  <c r="AC80" i="8"/>
  <c r="AB80" i="8"/>
  <c r="Z80" i="8"/>
  <c r="Y80" i="8"/>
  <c r="W80" i="8"/>
  <c r="X80" i="8" s="1"/>
  <c r="AA80" i="8" s="1"/>
  <c r="AF75" i="8"/>
  <c r="AE75" i="8"/>
  <c r="AD75" i="8"/>
  <c r="AC75" i="8"/>
  <c r="AB75" i="8"/>
  <c r="Z75" i="8"/>
  <c r="Y75" i="8"/>
  <c r="G51" i="8"/>
  <c r="G53" i="8" s="1"/>
  <c r="I63" i="8" s="1"/>
  <c r="AF68" i="8"/>
  <c r="AE68" i="8"/>
  <c r="AD68" i="8"/>
  <c r="AC68" i="8"/>
  <c r="AB68" i="8"/>
  <c r="Z68" i="8"/>
  <c r="Y68" i="8"/>
  <c r="R65" i="8"/>
  <c r="AF63" i="8"/>
  <c r="AE63" i="8"/>
  <c r="AD63" i="8"/>
  <c r="AC63" i="8"/>
  <c r="AB63" i="8"/>
  <c r="Z63" i="8"/>
  <c r="Y63" i="8"/>
  <c r="M63" i="8"/>
  <c r="I68" i="8" s="1"/>
  <c r="L63" i="8"/>
  <c r="S62" i="8"/>
  <c r="R60" i="8"/>
  <c r="AF58" i="8"/>
  <c r="AE58" i="8"/>
  <c r="AD58" i="8"/>
  <c r="AC58" i="8"/>
  <c r="AB58" i="8"/>
  <c r="Z58" i="8"/>
  <c r="Y58" i="8"/>
  <c r="W58" i="8"/>
  <c r="X58" i="8" s="1"/>
  <c r="AA58" i="8" s="1"/>
  <c r="AF53" i="8"/>
  <c r="AE53" i="8"/>
  <c r="AD53" i="8"/>
  <c r="AC53" i="8"/>
  <c r="AB53" i="8"/>
  <c r="Z53" i="8"/>
  <c r="Y53" i="8"/>
  <c r="AF46" i="8"/>
  <c r="AE46" i="8"/>
  <c r="AD46" i="8"/>
  <c r="AC46" i="8"/>
  <c r="AB46" i="8"/>
  <c r="Z46" i="8"/>
  <c r="Y46" i="8"/>
  <c r="G29" i="8"/>
  <c r="L31" i="8" s="1"/>
  <c r="S35" i="8" s="1"/>
  <c r="V31" i="8" s="1"/>
  <c r="R43" i="8"/>
  <c r="AF41" i="8"/>
  <c r="AE41" i="8"/>
  <c r="AD41" i="8"/>
  <c r="AC41" i="8"/>
  <c r="AB41" i="8"/>
  <c r="Z41" i="8"/>
  <c r="Y41" i="8"/>
  <c r="M41" i="8"/>
  <c r="L41" i="8"/>
  <c r="S40" i="8"/>
  <c r="R38" i="8"/>
  <c r="AF36" i="8"/>
  <c r="AE36" i="8"/>
  <c r="AD36" i="8"/>
  <c r="AC36" i="8"/>
  <c r="AB36" i="8"/>
  <c r="Z36" i="8"/>
  <c r="Y36" i="8"/>
  <c r="W36" i="8"/>
  <c r="X36" i="8" s="1"/>
  <c r="AA36" i="8" s="1"/>
  <c r="AF31" i="8"/>
  <c r="AE31" i="8"/>
  <c r="AD31" i="8"/>
  <c r="AC31" i="8"/>
  <c r="AB31" i="8"/>
  <c r="Z31" i="8"/>
  <c r="Y31" i="8"/>
  <c r="G6" i="8"/>
  <c r="L23" i="8" s="1"/>
  <c r="W23" i="8" s="1"/>
  <c r="AF23" i="8"/>
  <c r="AE23" i="8"/>
  <c r="AD23" i="8"/>
  <c r="AC23" i="8"/>
  <c r="AB23" i="8"/>
  <c r="Z23" i="8"/>
  <c r="Y23" i="8"/>
  <c r="Y13" i="8"/>
  <c r="Z13" i="8"/>
  <c r="AB13" i="8"/>
  <c r="AC13" i="8"/>
  <c r="AD13" i="8"/>
  <c r="AE13" i="8"/>
  <c r="AF13" i="8"/>
  <c r="Y18" i="8"/>
  <c r="Z18" i="8"/>
  <c r="AB18" i="8"/>
  <c r="AC18" i="8"/>
  <c r="AD18" i="8"/>
  <c r="AE18" i="8"/>
  <c r="AF18" i="8"/>
  <c r="Z8" i="8"/>
  <c r="AB8" i="8"/>
  <c r="AC8" i="8"/>
  <c r="AD8" i="8"/>
  <c r="AE8" i="8"/>
  <c r="AF8" i="8"/>
  <c r="Y8" i="8"/>
  <c r="M18" i="8"/>
  <c r="I23" i="8" s="1"/>
  <c r="W13" i="8"/>
  <c r="X13" i="8" s="1"/>
  <c r="AA13" i="8" s="1"/>
  <c r="R20" i="8"/>
  <c r="L18" i="8"/>
  <c r="G8" i="8"/>
  <c r="I18" i="8" s="1"/>
  <c r="S17" i="8"/>
  <c r="R15" i="8"/>
  <c r="G59" i="6"/>
  <c r="R58" i="6"/>
  <c r="Q58" i="6"/>
  <c r="G55" i="6"/>
  <c r="G54" i="6"/>
  <c r="F54" i="6"/>
  <c r="E54" i="6"/>
  <c r="G58" i="6"/>
  <c r="F58" i="6"/>
  <c r="E58" i="6"/>
  <c r="H27" i="6"/>
  <c r="H51" i="6"/>
  <c r="J50" i="6" s="1"/>
  <c r="O50" i="6"/>
  <c r="H44" i="6"/>
  <c r="H26" i="6"/>
  <c r="H25" i="6"/>
  <c r="O45" i="6"/>
  <c r="O30" i="6"/>
  <c r="O14" i="6"/>
  <c r="H24" i="6"/>
  <c r="H49" i="6"/>
  <c r="H48" i="6"/>
  <c r="H47" i="6"/>
  <c r="H46" i="6"/>
  <c r="H43" i="6"/>
  <c r="H42" i="6"/>
  <c r="H41" i="6"/>
  <c r="H40" i="6"/>
  <c r="H39" i="6"/>
  <c r="H38" i="6"/>
  <c r="H37" i="6"/>
  <c r="H35" i="6"/>
  <c r="H36" i="6"/>
  <c r="H34" i="6"/>
  <c r="H33" i="6"/>
  <c r="H32" i="6"/>
  <c r="H31" i="6"/>
  <c r="H30" i="6"/>
  <c r="H23" i="6"/>
  <c r="H22" i="6"/>
  <c r="H21" i="6"/>
  <c r="H19" i="6"/>
  <c r="H11" i="6"/>
  <c r="H12" i="6"/>
  <c r="H13" i="6"/>
  <c r="H14" i="6"/>
  <c r="H16" i="6"/>
  <c r="H17" i="6"/>
  <c r="H20" i="6"/>
  <c r="H5" i="14" l="1"/>
  <c r="J5" i="14"/>
  <c r="K6" i="14"/>
  <c r="S30" i="11"/>
  <c r="V26" i="11" s="1"/>
  <c r="X36" i="11"/>
  <c r="AA36" i="11" s="1"/>
  <c r="W46" i="11"/>
  <c r="W15" i="12"/>
  <c r="X15" i="12" s="1"/>
  <c r="AA15" i="12" s="1"/>
  <c r="W25" i="12"/>
  <c r="X25" i="12" s="1"/>
  <c r="AA25" i="12" s="1"/>
  <c r="W20" i="12"/>
  <c r="X20" i="12" s="1"/>
  <c r="AA20" i="12" s="1"/>
  <c r="W10" i="12"/>
  <c r="X10" i="12" s="1"/>
  <c r="AA10" i="12" s="1"/>
  <c r="W5" i="12"/>
  <c r="X5" i="12" s="1"/>
  <c r="AA5" i="12" s="1"/>
  <c r="S58" i="6"/>
  <c r="T58" i="6" s="1"/>
  <c r="V58" i="6" s="1"/>
  <c r="H59" i="6" s="1"/>
  <c r="H58" i="6"/>
  <c r="X46" i="11"/>
  <c r="AA46" i="11" s="1"/>
  <c r="X41" i="11"/>
  <c r="AA41" i="11" s="1"/>
  <c r="W41" i="11"/>
  <c r="S40" i="11"/>
  <c r="V36" i="11" s="1"/>
  <c r="W31" i="11"/>
  <c r="X31" i="11" s="1"/>
  <c r="AA31" i="11" s="1"/>
  <c r="X26" i="11"/>
  <c r="AA26" i="11" s="1"/>
  <c r="X21" i="11"/>
  <c r="AA21" i="11" s="1"/>
  <c r="X16" i="11"/>
  <c r="AA16" i="11" s="1"/>
  <c r="X11" i="11"/>
  <c r="AA11" i="11" s="1"/>
  <c r="W6" i="11"/>
  <c r="X6" i="11" s="1"/>
  <c r="AA6" i="11" s="1"/>
  <c r="Y51" i="11" s="1"/>
  <c r="L449" i="8"/>
  <c r="S453" i="8" s="1"/>
  <c r="V449" i="8" s="1"/>
  <c r="G625" i="8"/>
  <c r="I635" i="8" s="1"/>
  <c r="V542" i="8"/>
  <c r="V630" i="8"/>
  <c r="W437" i="8"/>
  <c r="V322" i="8"/>
  <c r="W547" i="8"/>
  <c r="V410" i="8"/>
  <c r="V454" i="8"/>
  <c r="L574" i="8"/>
  <c r="S578" i="8" s="1"/>
  <c r="V574" i="8" s="1"/>
  <c r="G603" i="8"/>
  <c r="I613" i="8" s="1"/>
  <c r="W635" i="8"/>
  <c r="S617" i="8"/>
  <c r="V613" i="8" s="1"/>
  <c r="L596" i="8"/>
  <c r="S600" i="8" s="1"/>
  <c r="V596" i="8" s="1"/>
  <c r="G581" i="8"/>
  <c r="I591" i="8" s="1"/>
  <c r="L559" i="8"/>
  <c r="W559" i="8" s="1"/>
  <c r="X559" i="8" s="1"/>
  <c r="AA559" i="8" s="1"/>
  <c r="V564" i="8"/>
  <c r="S595" i="8"/>
  <c r="V591" i="8" s="1"/>
  <c r="V586" i="8"/>
  <c r="V608" i="8"/>
  <c r="S639" i="8"/>
  <c r="V635" i="8" s="1"/>
  <c r="W625" i="8"/>
  <c r="X625" i="8" s="1"/>
  <c r="AA625" i="8" s="1"/>
  <c r="S485" i="8"/>
  <c r="V481" i="8" s="1"/>
  <c r="W525" i="8"/>
  <c r="X525" i="8" s="1"/>
  <c r="AA525" i="8" s="1"/>
  <c r="S551" i="8"/>
  <c r="V547" i="8" s="1"/>
  <c r="W569" i="8"/>
  <c r="X569" i="8" s="1"/>
  <c r="AA569" i="8" s="1"/>
  <c r="W591" i="8"/>
  <c r="W613" i="8"/>
  <c r="W640" i="8"/>
  <c r="X640" i="8" s="1"/>
  <c r="AA640" i="8" s="1"/>
  <c r="V432" i="8"/>
  <c r="V476" i="8"/>
  <c r="W603" i="8"/>
  <c r="X603" i="8" s="1"/>
  <c r="AA603" i="8" s="1"/>
  <c r="L618" i="8"/>
  <c r="V498" i="8"/>
  <c r="W503" i="8"/>
  <c r="W581" i="8"/>
  <c r="X581" i="8" s="1"/>
  <c r="AA581" i="8" s="1"/>
  <c r="S419" i="8"/>
  <c r="V415" i="8" s="1"/>
  <c r="S463" i="8"/>
  <c r="V459" i="8" s="1"/>
  <c r="S573" i="8"/>
  <c r="V569" i="8" s="1"/>
  <c r="G383" i="8"/>
  <c r="I393" i="8" s="1"/>
  <c r="V520" i="8"/>
  <c r="L398" i="8"/>
  <c r="S402" i="8" s="1"/>
  <c r="V398" i="8" s="1"/>
  <c r="W459" i="8"/>
  <c r="X459" i="8" s="1"/>
  <c r="AA459" i="8" s="1"/>
  <c r="W481" i="8"/>
  <c r="S529" i="8"/>
  <c r="V525" i="8" s="1"/>
  <c r="G537" i="8"/>
  <c r="I547" i="8" s="1"/>
  <c r="W537" i="8"/>
  <c r="X537" i="8" s="1"/>
  <c r="AA537" i="8" s="1"/>
  <c r="L552" i="8"/>
  <c r="L515" i="8"/>
  <c r="L530" i="8"/>
  <c r="S512" i="8"/>
  <c r="V508" i="8" s="1"/>
  <c r="W508" i="8"/>
  <c r="X508" i="8" s="1"/>
  <c r="AA508" i="8" s="1"/>
  <c r="G493" i="8"/>
  <c r="I503" i="8" s="1"/>
  <c r="L493" i="8"/>
  <c r="S507" i="8"/>
  <c r="V503" i="8" s="1"/>
  <c r="W486" i="8"/>
  <c r="X486" i="8" s="1"/>
  <c r="AA486" i="8" s="1"/>
  <c r="S490" i="8"/>
  <c r="V486" i="8" s="1"/>
  <c r="G471" i="8"/>
  <c r="I481" i="8" s="1"/>
  <c r="L471" i="8"/>
  <c r="W393" i="8"/>
  <c r="G427" i="8"/>
  <c r="I437" i="8" s="1"/>
  <c r="X437" i="8" s="1"/>
  <c r="AA437" i="8" s="1"/>
  <c r="L464" i="8"/>
  <c r="S441" i="8"/>
  <c r="V437" i="8" s="1"/>
  <c r="V344" i="8"/>
  <c r="V388" i="8"/>
  <c r="W415" i="8"/>
  <c r="W427" i="8"/>
  <c r="X427" i="8" s="1"/>
  <c r="AA427" i="8" s="1"/>
  <c r="I442" i="8"/>
  <c r="L442" i="8"/>
  <c r="G405" i="8"/>
  <c r="I415" i="8" s="1"/>
  <c r="W349" i="8"/>
  <c r="X349" i="8" s="1"/>
  <c r="AA349" i="8" s="1"/>
  <c r="V366" i="8"/>
  <c r="W405" i="8"/>
  <c r="X405" i="8" s="1"/>
  <c r="AA405" i="8" s="1"/>
  <c r="S375" i="8"/>
  <c r="V371" i="8" s="1"/>
  <c r="L420" i="8"/>
  <c r="W383" i="8"/>
  <c r="X383" i="8" s="1"/>
  <c r="AA383" i="8" s="1"/>
  <c r="W217" i="8"/>
  <c r="X217" i="8" s="1"/>
  <c r="AA217" i="8" s="1"/>
  <c r="S331" i="8"/>
  <c r="V327" i="8" s="1"/>
  <c r="S397" i="8"/>
  <c r="V393" i="8" s="1"/>
  <c r="W327" i="8"/>
  <c r="W371" i="8"/>
  <c r="W305" i="8"/>
  <c r="X305" i="8" s="1"/>
  <c r="AA305" i="8" s="1"/>
  <c r="S353" i="8"/>
  <c r="V349" i="8" s="1"/>
  <c r="G361" i="8"/>
  <c r="I371" i="8" s="1"/>
  <c r="L251" i="8"/>
  <c r="S255" i="8" s="1"/>
  <c r="V251" i="8" s="1"/>
  <c r="V256" i="8"/>
  <c r="L376" i="8"/>
  <c r="W361" i="8"/>
  <c r="X361" i="8" s="1"/>
  <c r="AA361" i="8" s="1"/>
  <c r="V190" i="8"/>
  <c r="L339" i="8"/>
  <c r="L354" i="8"/>
  <c r="W332" i="8"/>
  <c r="X332" i="8" s="1"/>
  <c r="AA332" i="8" s="1"/>
  <c r="S336" i="8"/>
  <c r="V332" i="8" s="1"/>
  <c r="W283" i="8"/>
  <c r="G317" i="8"/>
  <c r="I327" i="8" s="1"/>
  <c r="L229" i="8"/>
  <c r="S233" i="8" s="1"/>
  <c r="V229" i="8" s="1"/>
  <c r="V234" i="8"/>
  <c r="S265" i="8"/>
  <c r="V261" i="8" s="1"/>
  <c r="V300" i="8"/>
  <c r="L317" i="8"/>
  <c r="S243" i="8"/>
  <c r="V239" i="8" s="1"/>
  <c r="W261" i="8"/>
  <c r="X261" i="8" s="1"/>
  <c r="AA261" i="8" s="1"/>
  <c r="S309" i="8"/>
  <c r="V305" i="8" s="1"/>
  <c r="V278" i="8"/>
  <c r="S287" i="8"/>
  <c r="V283" i="8" s="1"/>
  <c r="L295" i="8"/>
  <c r="L310" i="8"/>
  <c r="W288" i="8"/>
  <c r="X288" i="8" s="1"/>
  <c r="AA288" i="8" s="1"/>
  <c r="S292" i="8"/>
  <c r="V288" i="8" s="1"/>
  <c r="G273" i="8"/>
  <c r="I283" i="8" s="1"/>
  <c r="L273" i="8"/>
  <c r="L266" i="8"/>
  <c r="V168" i="8"/>
  <c r="V212" i="8"/>
  <c r="W239" i="8"/>
  <c r="X239" i="8" s="1"/>
  <c r="AA239" i="8" s="1"/>
  <c r="S199" i="8"/>
  <c r="V195" i="8" s="1"/>
  <c r="S177" i="8"/>
  <c r="V173" i="8" s="1"/>
  <c r="S221" i="8"/>
  <c r="V217" i="8" s="1"/>
  <c r="W173" i="8"/>
  <c r="L244" i="8"/>
  <c r="W195" i="8"/>
  <c r="X195" i="8" s="1"/>
  <c r="AA195" i="8" s="1"/>
  <c r="L207" i="8"/>
  <c r="L222" i="8"/>
  <c r="L185" i="8"/>
  <c r="L200" i="8"/>
  <c r="G163" i="8"/>
  <c r="I173" i="8" s="1"/>
  <c r="W163" i="8"/>
  <c r="X163" i="8" s="1"/>
  <c r="AA163" i="8" s="1"/>
  <c r="L178" i="8"/>
  <c r="W151" i="8"/>
  <c r="X151" i="8" s="1"/>
  <c r="AA151" i="8" s="1"/>
  <c r="W107" i="8"/>
  <c r="W129" i="8"/>
  <c r="X129" i="8" s="1"/>
  <c r="AA129" i="8" s="1"/>
  <c r="L112" i="8"/>
  <c r="W112" i="8" s="1"/>
  <c r="V146" i="8"/>
  <c r="V124" i="8"/>
  <c r="I112" i="8"/>
  <c r="S133" i="8"/>
  <c r="V129" i="8" s="1"/>
  <c r="S155" i="8"/>
  <c r="V151" i="8" s="1"/>
  <c r="L141" i="8"/>
  <c r="L156" i="8"/>
  <c r="L119" i="8"/>
  <c r="L134" i="8"/>
  <c r="G97" i="8"/>
  <c r="I107" i="8" s="1"/>
  <c r="V102" i="8"/>
  <c r="S111" i="8"/>
  <c r="V107" i="8" s="1"/>
  <c r="W97" i="8"/>
  <c r="X97" i="8" s="1"/>
  <c r="AA97" i="8" s="1"/>
  <c r="S89" i="8"/>
  <c r="V85" i="8" s="1"/>
  <c r="V58" i="8"/>
  <c r="S94" i="8"/>
  <c r="V90" i="8" s="1"/>
  <c r="W90" i="8"/>
  <c r="L75" i="8"/>
  <c r="S79" i="8" s="1"/>
  <c r="V75" i="8" s="1"/>
  <c r="V80" i="8"/>
  <c r="I90" i="8"/>
  <c r="W85" i="8"/>
  <c r="G75" i="8"/>
  <c r="I85" i="8" s="1"/>
  <c r="S67" i="8"/>
  <c r="V63" i="8" s="1"/>
  <c r="W63" i="8"/>
  <c r="X63" i="8" s="1"/>
  <c r="AA63" i="8" s="1"/>
  <c r="L53" i="8"/>
  <c r="L68" i="8"/>
  <c r="X23" i="8"/>
  <c r="AA23" i="8" s="1"/>
  <c r="S45" i="8"/>
  <c r="V41" i="8" s="1"/>
  <c r="L46" i="8"/>
  <c r="I46" i="8"/>
  <c r="V36" i="8"/>
  <c r="S27" i="8"/>
  <c r="V23" i="8" s="1"/>
  <c r="W41" i="8"/>
  <c r="G31" i="8"/>
  <c r="I41" i="8" s="1"/>
  <c r="L8" i="8"/>
  <c r="S12" i="8" s="1"/>
  <c r="V8" i="8" s="1"/>
  <c r="W31" i="8"/>
  <c r="X31" i="8" s="1"/>
  <c r="AA31" i="8" s="1"/>
  <c r="V13" i="8"/>
  <c r="S22" i="8"/>
  <c r="V18" i="8" s="1"/>
  <c r="W18" i="8"/>
  <c r="X18" i="8" s="1"/>
  <c r="AA18" i="8" s="1"/>
  <c r="J18" i="6"/>
  <c r="H54" i="6"/>
  <c r="J45" i="6"/>
  <c r="J15" i="6"/>
  <c r="J29" i="6"/>
  <c r="H10" i="6"/>
  <c r="H9" i="6"/>
  <c r="K5" i="14" l="1"/>
  <c r="J57" i="6"/>
  <c r="J8" i="6"/>
  <c r="H55" i="6"/>
  <c r="J53" i="6" s="1"/>
  <c r="X613" i="8"/>
  <c r="AA613" i="8" s="1"/>
  <c r="W449" i="8"/>
  <c r="X449" i="8" s="1"/>
  <c r="AA449" i="8" s="1"/>
  <c r="W574" i="8"/>
  <c r="X574" i="8" s="1"/>
  <c r="AA574" i="8" s="1"/>
  <c r="X635" i="8"/>
  <c r="AA635" i="8" s="1"/>
  <c r="W596" i="8"/>
  <c r="X596" i="8" s="1"/>
  <c r="AA596" i="8" s="1"/>
  <c r="X591" i="8"/>
  <c r="AA591" i="8" s="1"/>
  <c r="X547" i="8"/>
  <c r="AA547" i="8" s="1"/>
  <c r="X503" i="8"/>
  <c r="AA503" i="8" s="1"/>
  <c r="S563" i="8"/>
  <c r="V559" i="8" s="1"/>
  <c r="X393" i="8"/>
  <c r="AA393" i="8" s="1"/>
  <c r="W398" i="8"/>
  <c r="X398" i="8" s="1"/>
  <c r="AA398" i="8" s="1"/>
  <c r="S622" i="8"/>
  <c r="V618" i="8" s="1"/>
  <c r="W618" i="8"/>
  <c r="X618" i="8" s="1"/>
  <c r="AA618" i="8" s="1"/>
  <c r="X481" i="8"/>
  <c r="AA481" i="8" s="1"/>
  <c r="S556" i="8"/>
  <c r="V552" i="8" s="1"/>
  <c r="W552" i="8"/>
  <c r="X552" i="8" s="1"/>
  <c r="AA552" i="8" s="1"/>
  <c r="S534" i="8"/>
  <c r="V530" i="8" s="1"/>
  <c r="W530" i="8"/>
  <c r="X530" i="8" s="1"/>
  <c r="AA530" i="8" s="1"/>
  <c r="S519" i="8"/>
  <c r="V515" i="8" s="1"/>
  <c r="W515" i="8"/>
  <c r="X515" i="8" s="1"/>
  <c r="AA515" i="8" s="1"/>
  <c r="W493" i="8"/>
  <c r="X493" i="8" s="1"/>
  <c r="AA493" i="8" s="1"/>
  <c r="S497" i="8"/>
  <c r="V493" i="8" s="1"/>
  <c r="S475" i="8"/>
  <c r="V471" i="8" s="1"/>
  <c r="W471" i="8"/>
  <c r="X471" i="8" s="1"/>
  <c r="AA471" i="8" s="1"/>
  <c r="W229" i="8"/>
  <c r="X229" i="8" s="1"/>
  <c r="AA229" i="8" s="1"/>
  <c r="X415" i="8"/>
  <c r="AA415" i="8" s="1"/>
  <c r="S468" i="8"/>
  <c r="V464" i="8" s="1"/>
  <c r="W464" i="8"/>
  <c r="X464" i="8" s="1"/>
  <c r="AA464" i="8" s="1"/>
  <c r="W251" i="8"/>
  <c r="X251" i="8" s="1"/>
  <c r="AA251" i="8" s="1"/>
  <c r="S446" i="8"/>
  <c r="V442" i="8" s="1"/>
  <c r="W442" i="8"/>
  <c r="X442" i="8" s="1"/>
  <c r="AA442" i="8" s="1"/>
  <c r="S424" i="8"/>
  <c r="V420" i="8" s="1"/>
  <c r="W420" i="8"/>
  <c r="X420" i="8" s="1"/>
  <c r="AA420" i="8" s="1"/>
  <c r="X327" i="8"/>
  <c r="AA327" i="8" s="1"/>
  <c r="X371" i="8"/>
  <c r="AA371" i="8" s="1"/>
  <c r="S380" i="8"/>
  <c r="V376" i="8" s="1"/>
  <c r="W376" i="8"/>
  <c r="X376" i="8" s="1"/>
  <c r="AA376" i="8" s="1"/>
  <c r="X283" i="8"/>
  <c r="AA283" i="8" s="1"/>
  <c r="S358" i="8"/>
  <c r="V354" i="8" s="1"/>
  <c r="W354" i="8"/>
  <c r="X354" i="8" s="1"/>
  <c r="AA354" i="8" s="1"/>
  <c r="S343" i="8"/>
  <c r="V339" i="8" s="1"/>
  <c r="W339" i="8"/>
  <c r="X339" i="8" s="1"/>
  <c r="AA339" i="8" s="1"/>
  <c r="S321" i="8"/>
  <c r="V317" i="8" s="1"/>
  <c r="W317" i="8"/>
  <c r="X317" i="8" s="1"/>
  <c r="AA317" i="8" s="1"/>
  <c r="S314" i="8"/>
  <c r="V310" i="8" s="1"/>
  <c r="W310" i="8"/>
  <c r="X310" i="8" s="1"/>
  <c r="AA310" i="8" s="1"/>
  <c r="S299" i="8"/>
  <c r="V295" i="8" s="1"/>
  <c r="W295" i="8"/>
  <c r="X295" i="8" s="1"/>
  <c r="AA295" i="8" s="1"/>
  <c r="W273" i="8"/>
  <c r="X273" i="8" s="1"/>
  <c r="AA273" i="8" s="1"/>
  <c r="S277" i="8"/>
  <c r="V273" i="8" s="1"/>
  <c r="S270" i="8"/>
  <c r="V266" i="8" s="1"/>
  <c r="W266" i="8"/>
  <c r="X266" i="8" s="1"/>
  <c r="AA266" i="8" s="1"/>
  <c r="X173" i="8"/>
  <c r="AA173" i="8" s="1"/>
  <c r="S248" i="8"/>
  <c r="V244" i="8" s="1"/>
  <c r="W244" i="8"/>
  <c r="X244" i="8" s="1"/>
  <c r="AA244" i="8" s="1"/>
  <c r="S211" i="8"/>
  <c r="V207" i="8" s="1"/>
  <c r="W207" i="8"/>
  <c r="X207" i="8" s="1"/>
  <c r="AA207" i="8" s="1"/>
  <c r="S226" i="8"/>
  <c r="V222" i="8" s="1"/>
  <c r="W222" i="8"/>
  <c r="X222" i="8" s="1"/>
  <c r="AA222" i="8" s="1"/>
  <c r="S204" i="8"/>
  <c r="V200" i="8" s="1"/>
  <c r="W200" i="8"/>
  <c r="X200" i="8" s="1"/>
  <c r="AA200" i="8" s="1"/>
  <c r="S189" i="8"/>
  <c r="V185" i="8" s="1"/>
  <c r="W185" i="8"/>
  <c r="X185" i="8" s="1"/>
  <c r="AA185" i="8" s="1"/>
  <c r="S182" i="8"/>
  <c r="V178" i="8" s="1"/>
  <c r="W178" i="8"/>
  <c r="X178" i="8" s="1"/>
  <c r="AA178" i="8" s="1"/>
  <c r="X107" i="8"/>
  <c r="AA107" i="8" s="1"/>
  <c r="S116" i="8"/>
  <c r="V112" i="8" s="1"/>
  <c r="X112" i="8"/>
  <c r="AA112" i="8" s="1"/>
  <c r="W75" i="8"/>
  <c r="X75" i="8" s="1"/>
  <c r="AA75" i="8" s="1"/>
  <c r="S160" i="8"/>
  <c r="V156" i="8" s="1"/>
  <c r="W156" i="8"/>
  <c r="X156" i="8" s="1"/>
  <c r="AA156" i="8" s="1"/>
  <c r="S145" i="8"/>
  <c r="V141" i="8" s="1"/>
  <c r="W141" i="8"/>
  <c r="X141" i="8" s="1"/>
  <c r="AA141" i="8" s="1"/>
  <c r="S138" i="8"/>
  <c r="V134" i="8" s="1"/>
  <c r="W134" i="8"/>
  <c r="X134" i="8" s="1"/>
  <c r="AA134" i="8" s="1"/>
  <c r="S123" i="8"/>
  <c r="V119" i="8" s="1"/>
  <c r="W119" i="8"/>
  <c r="X119" i="8" s="1"/>
  <c r="AA119" i="8" s="1"/>
  <c r="X90" i="8"/>
  <c r="AA90" i="8" s="1"/>
  <c r="X85" i="8"/>
  <c r="AA85" i="8" s="1"/>
  <c r="X41" i="8"/>
  <c r="AA41" i="8" s="1"/>
  <c r="S72" i="8"/>
  <c r="V68" i="8" s="1"/>
  <c r="W68" i="8"/>
  <c r="X68" i="8" s="1"/>
  <c r="AA68" i="8" s="1"/>
  <c r="S57" i="8"/>
  <c r="V53" i="8" s="1"/>
  <c r="W53" i="8"/>
  <c r="X53" i="8" s="1"/>
  <c r="AA53" i="8" s="1"/>
  <c r="S50" i="8"/>
  <c r="V46" i="8" s="1"/>
  <c r="W46" i="8"/>
  <c r="X46" i="8" s="1"/>
  <c r="AA46" i="8" s="1"/>
  <c r="W8" i="8"/>
  <c r="X8" i="8" s="1"/>
  <c r="D13" i="1"/>
  <c r="K143" i="14" l="1"/>
  <c r="I2" i="2"/>
  <c r="H2" i="2"/>
  <c r="G2" i="2"/>
  <c r="H159" i="4"/>
  <c r="H160" i="4"/>
  <c r="H165" i="4"/>
  <c r="H164" i="4"/>
  <c r="H139" i="4"/>
  <c r="H140" i="4"/>
  <c r="H141" i="4"/>
  <c r="H142" i="4"/>
  <c r="H143" i="4"/>
  <c r="H144" i="4"/>
  <c r="H145" i="4"/>
  <c r="H146" i="4"/>
  <c r="H147" i="4"/>
  <c r="H148" i="4"/>
  <c r="H149" i="4"/>
  <c r="H150" i="4"/>
  <c r="H151" i="4"/>
  <c r="H152" i="4"/>
  <c r="H153" i="4"/>
  <c r="H154" i="4"/>
  <c r="H155" i="4"/>
  <c r="H156" i="4"/>
  <c r="H157" i="4"/>
  <c r="H158" i="4"/>
  <c r="H138" i="4"/>
  <c r="T9" i="5"/>
  <c r="W9" i="5" s="1"/>
  <c r="T10" i="5"/>
  <c r="W10" i="5" s="1"/>
  <c r="T8" i="5"/>
  <c r="W8" i="5" s="1"/>
  <c r="T7" i="5"/>
  <c r="W7" i="5" s="1"/>
  <c r="B8" i="5"/>
  <c r="B9" i="5" s="1"/>
  <c r="B10" i="5" s="1"/>
  <c r="F13" i="3"/>
  <c r="I13" i="3" s="1"/>
  <c r="J13" i="3" s="1"/>
  <c r="F12" i="3"/>
  <c r="I12" i="3" s="1"/>
  <c r="J12" i="3" s="1"/>
  <c r="H42" i="2"/>
  <c r="G41" i="2"/>
  <c r="G40" i="2"/>
  <c r="J162" i="4" l="1"/>
  <c r="B11" i="5"/>
  <c r="B12" i="5" l="1"/>
  <c r="H137" i="4" l="1"/>
  <c r="J136" i="4" s="1"/>
  <c r="E109" i="4"/>
  <c r="H109" i="4" s="1"/>
  <c r="E108" i="4"/>
  <c r="H108" i="4" s="1"/>
  <c r="E107" i="4"/>
  <c r="H107" i="4" s="1"/>
  <c r="J107" i="4" s="1"/>
  <c r="D60" i="1" s="1"/>
  <c r="H60" i="1" s="1"/>
  <c r="E106" i="4"/>
  <c r="H106" i="4" s="1"/>
  <c r="J106" i="4" s="1"/>
  <c r="D61" i="1" s="1"/>
  <c r="D105" i="4"/>
  <c r="E105" i="4"/>
  <c r="H113" i="4"/>
  <c r="H114" i="4"/>
  <c r="H115" i="4"/>
  <c r="H116" i="4"/>
  <c r="H117" i="4"/>
  <c r="H118" i="4"/>
  <c r="H119" i="4"/>
  <c r="H120" i="4"/>
  <c r="H121" i="4"/>
  <c r="H122" i="4"/>
  <c r="H123" i="4"/>
  <c r="H112" i="4"/>
  <c r="J112" i="4" l="1"/>
  <c r="D48" i="1" s="1"/>
  <c r="J108" i="4"/>
  <c r="D59" i="1" s="1"/>
  <c r="H59" i="1" s="1"/>
  <c r="D57" i="1"/>
  <c r="H105" i="4"/>
  <c r="J105" i="4" s="1"/>
  <c r="D14" i="1" l="1"/>
  <c r="O26" i="2"/>
  <c r="J26" i="2"/>
  <c r="M35" i="2"/>
  <c r="N35" i="2" s="1"/>
  <c r="L37" i="2"/>
  <c r="M37" i="2" s="1"/>
  <c r="N37" i="2" s="1"/>
  <c r="L36" i="2"/>
  <c r="M36" i="2" s="1"/>
  <c r="N36" i="2" s="1"/>
  <c r="L35" i="2"/>
  <c r="L34" i="2"/>
  <c r="M34" i="2" s="1"/>
  <c r="N34" i="2" s="1"/>
  <c r="L33" i="2"/>
  <c r="M33" i="2" s="1"/>
  <c r="N33" i="2" s="1"/>
  <c r="L32" i="2"/>
  <c r="M32" i="2" s="1"/>
  <c r="N32" i="2" s="1"/>
  <c r="L31" i="2"/>
  <c r="M31" i="2" s="1"/>
  <c r="N31" i="2" s="1"/>
  <c r="L30" i="2"/>
  <c r="M30" i="2" s="1"/>
  <c r="N30" i="2" s="1"/>
  <c r="L29" i="2"/>
  <c r="M29" i="2" s="1"/>
  <c r="G21" i="2"/>
  <c r="G22" i="2"/>
  <c r="G23" i="2"/>
  <c r="G20" i="2"/>
  <c r="H102" i="4"/>
  <c r="H101" i="4"/>
  <c r="H134" i="4"/>
  <c r="H126" i="4"/>
  <c r="H127" i="4"/>
  <c r="H128" i="4"/>
  <c r="H129" i="4"/>
  <c r="H130" i="4"/>
  <c r="H131" i="4"/>
  <c r="H132" i="4"/>
  <c r="H133" i="4"/>
  <c r="H125" i="4"/>
  <c r="I40" i="2"/>
  <c r="G15" i="3"/>
  <c r="G6" i="3" s="1"/>
  <c r="C23" i="3" s="1"/>
  <c r="F19" i="3"/>
  <c r="I19" i="3" s="1"/>
  <c r="J19" i="3" s="1"/>
  <c r="F18" i="3"/>
  <c r="I18" i="3" s="1"/>
  <c r="J18" i="3" s="1"/>
  <c r="F17" i="3"/>
  <c r="I17" i="3" s="1"/>
  <c r="J17" i="3" s="1"/>
  <c r="F16" i="3"/>
  <c r="I16" i="3" s="1"/>
  <c r="J16" i="3" s="1"/>
  <c r="F11" i="3"/>
  <c r="I11" i="3" s="1"/>
  <c r="J11" i="3" s="1"/>
  <c r="F10" i="3"/>
  <c r="I10" i="3" s="1"/>
  <c r="J10" i="3" s="1"/>
  <c r="F9" i="3"/>
  <c r="I9" i="3" s="1"/>
  <c r="J9" i="3" s="1"/>
  <c r="F8" i="3"/>
  <c r="I8" i="3" s="1"/>
  <c r="D40" i="2"/>
  <c r="D2" i="2"/>
  <c r="G49" i="2"/>
  <c r="H49" i="2" s="1"/>
  <c r="G48" i="2"/>
  <c r="H48" i="2" s="1"/>
  <c r="G47" i="2"/>
  <c r="H47" i="2" s="1"/>
  <c r="F16" i="2"/>
  <c r="G16" i="2" s="1"/>
  <c r="F15" i="2"/>
  <c r="G15" i="2" s="1"/>
  <c r="H15" i="2" s="1"/>
  <c r="F14" i="2"/>
  <c r="G45" i="2"/>
  <c r="H41" i="2"/>
  <c r="F11" i="2"/>
  <c r="G11" i="2" s="1"/>
  <c r="H11" i="2" s="1"/>
  <c r="F12" i="2"/>
  <c r="G12" i="2" s="1"/>
  <c r="H12" i="2" s="1"/>
  <c r="F13" i="2"/>
  <c r="G13" i="2" s="1"/>
  <c r="H13" i="2" s="1"/>
  <c r="F10" i="2"/>
  <c r="G10" i="2" s="1"/>
  <c r="H10" i="2" s="1"/>
  <c r="F9" i="2"/>
  <c r="G9" i="2" s="1"/>
  <c r="H9" i="2" s="1"/>
  <c r="F8" i="2"/>
  <c r="G8" i="2" s="1"/>
  <c r="H8" i="2" s="1"/>
  <c r="F7" i="2"/>
  <c r="G7" i="2" s="1"/>
  <c r="F6" i="2"/>
  <c r="G6" i="2" s="1"/>
  <c r="H6" i="2" s="1"/>
  <c r="H109" i="1"/>
  <c r="H105" i="1"/>
  <c r="H104" i="1"/>
  <c r="H103" i="1"/>
  <c r="H102" i="1"/>
  <c r="H87" i="1"/>
  <c r="H86" i="1"/>
  <c r="H85" i="1"/>
  <c r="H84" i="1"/>
  <c r="H83" i="1"/>
  <c r="H82" i="1"/>
  <c r="H81" i="1"/>
  <c r="H80" i="1"/>
  <c r="H79" i="1"/>
  <c r="H78" i="1"/>
  <c r="H73" i="1"/>
  <c r="H72" i="1"/>
  <c r="H71" i="1"/>
  <c r="H70" i="1"/>
  <c r="H69" i="1"/>
  <c r="H68" i="1"/>
  <c r="H67" i="1"/>
  <c r="H66" i="1"/>
  <c r="H65" i="1"/>
  <c r="H64" i="1"/>
  <c r="H63" i="1"/>
  <c r="H62" i="1"/>
  <c r="H61" i="1"/>
  <c r="H58" i="1"/>
  <c r="H57" i="1"/>
  <c r="H50" i="1"/>
  <c r="H49" i="1"/>
  <c r="H48" i="1"/>
  <c r="H47" i="1"/>
  <c r="H43" i="1"/>
  <c r="H42" i="1"/>
  <c r="H41" i="1"/>
  <c r="H40" i="1"/>
  <c r="H38" i="1"/>
  <c r="G36" i="1"/>
  <c r="H29" i="1"/>
  <c r="H28" i="1"/>
  <c r="H27" i="1"/>
  <c r="H25" i="1"/>
  <c r="H21" i="1"/>
  <c r="J125" i="4" l="1"/>
  <c r="D107" i="1" s="1"/>
  <c r="D108" i="1" s="1"/>
  <c r="H108" i="1" s="1"/>
  <c r="H37" i="1"/>
  <c r="H44" i="1" s="1"/>
  <c r="H35" i="1"/>
  <c r="H36" i="1"/>
  <c r="J15" i="3"/>
  <c r="D23" i="1"/>
  <c r="H23" i="1" s="1"/>
  <c r="D24" i="1"/>
  <c r="H24" i="1" s="1"/>
  <c r="I15" i="3"/>
  <c r="J101" i="4"/>
  <c r="D51" i="1" s="1"/>
  <c r="H13" i="1"/>
  <c r="N29" i="2"/>
  <c r="N26" i="2" s="1"/>
  <c r="M26" i="2"/>
  <c r="H20" i="2"/>
  <c r="D15" i="1" s="1"/>
  <c r="D16" i="1" s="1"/>
  <c r="D17" i="1" s="1"/>
  <c r="H17" i="1" s="1"/>
  <c r="H14" i="1"/>
  <c r="C24" i="3"/>
  <c r="G46" i="2"/>
  <c r="H46" i="2" s="1"/>
  <c r="H16" i="2"/>
  <c r="G14" i="2"/>
  <c r="H14" i="2" s="1"/>
  <c r="H45" i="2"/>
  <c r="G44" i="2"/>
  <c r="H44" i="2" s="1"/>
  <c r="G42" i="2"/>
  <c r="G43" i="2"/>
  <c r="H43" i="2" s="1"/>
  <c r="H7" i="2"/>
  <c r="H55" i="1"/>
  <c r="D11" i="5" s="1"/>
  <c r="H113" i="1"/>
  <c r="H112" i="1" s="1"/>
  <c r="D13" i="5" s="1"/>
  <c r="E13" i="5" l="1"/>
  <c r="F13" i="5"/>
  <c r="F11" i="5"/>
  <c r="E11" i="5"/>
  <c r="H32" i="1"/>
  <c r="D9" i="5" s="1"/>
  <c r="D52" i="1"/>
  <c r="H52" i="1" s="1"/>
  <c r="H51" i="1"/>
  <c r="H107" i="1"/>
  <c r="H110" i="1" s="1"/>
  <c r="H75" i="1" s="1"/>
  <c r="D12" i="5" s="1"/>
  <c r="H30" i="1"/>
  <c r="H16" i="1"/>
  <c r="H15" i="1"/>
  <c r="D11" i="1"/>
  <c r="H11" i="1" s="1"/>
  <c r="D10" i="1"/>
  <c r="H10" i="1" s="1"/>
  <c r="H40" i="2"/>
  <c r="I6" i="3"/>
  <c r="D22" i="1" s="1"/>
  <c r="H22" i="1" s="1"/>
  <c r="J8" i="3"/>
  <c r="F9" i="5" l="1"/>
  <c r="E9" i="5"/>
  <c r="F12" i="5"/>
  <c r="E12" i="5"/>
  <c r="H20" i="1"/>
  <c r="D7" i="5" s="1"/>
  <c r="H18" i="1"/>
  <c r="H8" i="1" s="1"/>
  <c r="H53" i="1"/>
  <c r="H46" i="1" s="1"/>
  <c r="J6" i="3"/>
  <c r="D8" i="5" l="1"/>
  <c r="F8" i="5" s="1"/>
  <c r="H115" i="1"/>
  <c r="D6" i="5"/>
  <c r="F6" i="5" s="1"/>
  <c r="D6" i="18"/>
  <c r="D10" i="5"/>
  <c r="F10" i="5" s="1"/>
  <c r="E7" i="5"/>
  <c r="F7" i="5"/>
  <c r="E8" i="5" l="1"/>
  <c r="E6" i="5"/>
  <c r="E6" i="18"/>
  <c r="F6" i="18"/>
  <c r="D16" i="5"/>
  <c r="E10" i="5"/>
  <c r="F16" i="5"/>
  <c r="E1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Akash N G</author>
  </authors>
  <commentList>
    <comment ref="F9" authorId="0" shapeId="0" xr:uid="{7E02AE3E-BAE2-44CD-B087-33BF36E1A372}">
      <text>
        <r>
          <rPr>
            <b/>
            <sz val="9"/>
            <color indexed="81"/>
            <rFont val="Tahoma"/>
            <family val="2"/>
          </rPr>
          <t>Converted into Rolls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Akash N G</author>
  </authors>
  <commentList>
    <comment ref="M18" authorId="0" shapeId="0" xr:uid="{08F1492A-C8B8-4A05-95B9-51979445E934}">
      <text>
        <r>
          <rPr>
            <b/>
            <sz val="9"/>
            <color indexed="81"/>
            <rFont val="Tahoma"/>
            <family val="2"/>
          </rPr>
          <t>Akash N G:</t>
        </r>
        <r>
          <rPr>
            <sz val="9"/>
            <color indexed="81"/>
            <rFont val="Tahoma"/>
            <family val="2"/>
          </rPr>
          <t xml:space="preserve">
Wall height
</t>
        </r>
      </text>
    </comment>
    <comment ref="D23" authorId="0" shapeId="0" xr:uid="{FD637CB5-C4AA-42CF-ADE9-1E7118DF4FD5}">
      <text>
        <r>
          <rPr>
            <b/>
            <sz val="9"/>
            <color indexed="81"/>
            <rFont val="Tahoma"/>
            <family val="2"/>
          </rPr>
          <t>Akash N G:</t>
        </r>
        <r>
          <rPr>
            <sz val="9"/>
            <color indexed="81"/>
            <rFont val="Tahoma"/>
            <family val="2"/>
          </rPr>
          <t xml:space="preserve">
Dia gauge sizes required</t>
        </r>
      </text>
    </comment>
    <comment ref="M41" authorId="0" shapeId="0" xr:uid="{64223ADF-6619-4FAE-A547-878E2AFC2F04}">
      <text>
        <r>
          <rPr>
            <b/>
            <sz val="9"/>
            <color indexed="81"/>
            <rFont val="Tahoma"/>
            <family val="2"/>
          </rPr>
          <t>Akash N G:</t>
        </r>
        <r>
          <rPr>
            <sz val="9"/>
            <color indexed="81"/>
            <rFont val="Tahoma"/>
            <family val="2"/>
          </rPr>
          <t xml:space="preserve">
Wall height
</t>
        </r>
      </text>
    </comment>
    <comment ref="M63" authorId="0" shapeId="0" xr:uid="{D8C517F8-14C6-4A32-A2AE-FEC933FCB8A0}">
      <text>
        <r>
          <rPr>
            <b/>
            <sz val="9"/>
            <color indexed="81"/>
            <rFont val="Tahoma"/>
            <family val="2"/>
          </rPr>
          <t>Akash N G:</t>
        </r>
        <r>
          <rPr>
            <sz val="9"/>
            <color indexed="81"/>
            <rFont val="Tahoma"/>
            <family val="2"/>
          </rPr>
          <t xml:space="preserve">
Wall height
</t>
        </r>
      </text>
    </comment>
    <comment ref="M85" authorId="0" shapeId="0" xr:uid="{89B793FD-7CB1-4311-9FBA-C99FC83D5059}">
      <text>
        <r>
          <rPr>
            <b/>
            <sz val="9"/>
            <color indexed="81"/>
            <rFont val="Tahoma"/>
            <family val="2"/>
          </rPr>
          <t>Akash N G:</t>
        </r>
        <r>
          <rPr>
            <sz val="9"/>
            <color indexed="81"/>
            <rFont val="Tahoma"/>
            <family val="2"/>
          </rPr>
          <t xml:space="preserve">
Wall height
</t>
        </r>
      </text>
    </comment>
    <comment ref="M107" authorId="0" shapeId="0" xr:uid="{A9B980E0-7FB9-4888-B701-B841EC07232F}">
      <text>
        <r>
          <rPr>
            <b/>
            <sz val="9"/>
            <color indexed="81"/>
            <rFont val="Tahoma"/>
            <family val="2"/>
          </rPr>
          <t>Akash N G:</t>
        </r>
        <r>
          <rPr>
            <sz val="9"/>
            <color indexed="81"/>
            <rFont val="Tahoma"/>
            <family val="2"/>
          </rPr>
          <t xml:space="preserve">
Wall height
</t>
        </r>
      </text>
    </comment>
    <comment ref="M129" authorId="0" shapeId="0" xr:uid="{2EB19F6C-5654-47C7-AC11-C51939826B3A}">
      <text>
        <r>
          <rPr>
            <b/>
            <sz val="9"/>
            <color indexed="81"/>
            <rFont val="Tahoma"/>
            <family val="2"/>
          </rPr>
          <t>Akash N G:</t>
        </r>
        <r>
          <rPr>
            <sz val="9"/>
            <color indexed="81"/>
            <rFont val="Tahoma"/>
            <family val="2"/>
          </rPr>
          <t xml:space="preserve">
Wall height
</t>
        </r>
      </text>
    </comment>
    <comment ref="M151" authorId="0" shapeId="0" xr:uid="{48567EC6-B7C0-4FD7-A60E-3ECE93181017}">
      <text>
        <r>
          <rPr>
            <b/>
            <sz val="9"/>
            <color indexed="81"/>
            <rFont val="Tahoma"/>
            <family val="2"/>
          </rPr>
          <t>Akash N G:</t>
        </r>
        <r>
          <rPr>
            <sz val="9"/>
            <color indexed="81"/>
            <rFont val="Tahoma"/>
            <family val="2"/>
          </rPr>
          <t xml:space="preserve">
Wall height
</t>
        </r>
      </text>
    </comment>
    <comment ref="M173" authorId="0" shapeId="0" xr:uid="{E0EAC336-D1DE-47F7-BC9B-ECEDC62B9974}">
      <text>
        <r>
          <rPr>
            <b/>
            <sz val="9"/>
            <color indexed="81"/>
            <rFont val="Tahoma"/>
            <family val="2"/>
          </rPr>
          <t>Akash N G:</t>
        </r>
        <r>
          <rPr>
            <sz val="9"/>
            <color indexed="81"/>
            <rFont val="Tahoma"/>
            <family val="2"/>
          </rPr>
          <t xml:space="preserve">
Wall height
</t>
        </r>
      </text>
    </comment>
    <comment ref="M195" authorId="0" shapeId="0" xr:uid="{AA7843BC-FEF4-4B2B-86ED-4F53EF60E2D2}">
      <text>
        <r>
          <rPr>
            <b/>
            <sz val="9"/>
            <color indexed="81"/>
            <rFont val="Tahoma"/>
            <family val="2"/>
          </rPr>
          <t>Akash N G:</t>
        </r>
        <r>
          <rPr>
            <sz val="9"/>
            <color indexed="81"/>
            <rFont val="Tahoma"/>
            <family val="2"/>
          </rPr>
          <t xml:space="preserve">
Wall height
</t>
        </r>
      </text>
    </comment>
    <comment ref="M217" authorId="0" shapeId="0" xr:uid="{242F91FA-8FC3-4695-8251-FA49C287C611}">
      <text>
        <r>
          <rPr>
            <b/>
            <sz val="9"/>
            <color indexed="81"/>
            <rFont val="Tahoma"/>
            <family val="2"/>
          </rPr>
          <t>Akash N G:</t>
        </r>
        <r>
          <rPr>
            <sz val="9"/>
            <color indexed="81"/>
            <rFont val="Tahoma"/>
            <family val="2"/>
          </rPr>
          <t xml:space="preserve">
Wall height
</t>
        </r>
      </text>
    </comment>
    <comment ref="M239" authorId="0" shapeId="0" xr:uid="{DFDB0EBC-C6D1-45B7-80C7-A288A78250FE}">
      <text>
        <r>
          <rPr>
            <b/>
            <sz val="9"/>
            <color indexed="81"/>
            <rFont val="Tahoma"/>
            <family val="2"/>
          </rPr>
          <t>Akash N G:</t>
        </r>
        <r>
          <rPr>
            <sz val="9"/>
            <color indexed="81"/>
            <rFont val="Tahoma"/>
            <family val="2"/>
          </rPr>
          <t xml:space="preserve">
Wall height
</t>
        </r>
      </text>
    </comment>
    <comment ref="M261" authorId="0" shapeId="0" xr:uid="{4724D48B-0FE4-49DB-BFEB-82E41773CEDD}">
      <text>
        <r>
          <rPr>
            <b/>
            <sz val="9"/>
            <color indexed="81"/>
            <rFont val="Tahoma"/>
            <family val="2"/>
          </rPr>
          <t>Akash N G:</t>
        </r>
        <r>
          <rPr>
            <sz val="9"/>
            <color indexed="81"/>
            <rFont val="Tahoma"/>
            <family val="2"/>
          </rPr>
          <t xml:space="preserve">
Wall height
</t>
        </r>
      </text>
    </comment>
    <comment ref="M283" authorId="0" shapeId="0" xr:uid="{72780E28-2E7C-43B4-B9CF-B3629BAE2A6F}">
      <text>
        <r>
          <rPr>
            <b/>
            <sz val="9"/>
            <color indexed="81"/>
            <rFont val="Tahoma"/>
            <family val="2"/>
          </rPr>
          <t>Akash N G:</t>
        </r>
        <r>
          <rPr>
            <sz val="9"/>
            <color indexed="81"/>
            <rFont val="Tahoma"/>
            <family val="2"/>
          </rPr>
          <t xml:space="preserve">
Wall height
</t>
        </r>
      </text>
    </comment>
    <comment ref="M305" authorId="0" shapeId="0" xr:uid="{55AB42C4-DF80-4367-823F-5DED7C9EE2A7}">
      <text>
        <r>
          <rPr>
            <b/>
            <sz val="9"/>
            <color indexed="81"/>
            <rFont val="Tahoma"/>
            <family val="2"/>
          </rPr>
          <t>Akash N G:</t>
        </r>
        <r>
          <rPr>
            <sz val="9"/>
            <color indexed="81"/>
            <rFont val="Tahoma"/>
            <family val="2"/>
          </rPr>
          <t xml:space="preserve">
Wall height
</t>
        </r>
      </text>
    </comment>
    <comment ref="M327" authorId="0" shapeId="0" xr:uid="{1A644C47-0A4C-4B48-A8E7-BABA66896644}">
      <text>
        <r>
          <rPr>
            <b/>
            <sz val="9"/>
            <color indexed="81"/>
            <rFont val="Tahoma"/>
            <family val="2"/>
          </rPr>
          <t>Akash N G:</t>
        </r>
        <r>
          <rPr>
            <sz val="9"/>
            <color indexed="81"/>
            <rFont val="Tahoma"/>
            <family val="2"/>
          </rPr>
          <t xml:space="preserve">
Wall height
</t>
        </r>
      </text>
    </comment>
    <comment ref="M349" authorId="0" shapeId="0" xr:uid="{47137096-BDCB-47A3-A197-42C4D791BA96}">
      <text>
        <r>
          <rPr>
            <b/>
            <sz val="9"/>
            <color indexed="81"/>
            <rFont val="Tahoma"/>
            <family val="2"/>
          </rPr>
          <t>Akash N G:</t>
        </r>
        <r>
          <rPr>
            <sz val="9"/>
            <color indexed="81"/>
            <rFont val="Tahoma"/>
            <family val="2"/>
          </rPr>
          <t xml:space="preserve">
Wall height
</t>
        </r>
      </text>
    </comment>
    <comment ref="M371" authorId="0" shapeId="0" xr:uid="{591335E5-6009-4373-9718-A054C739A247}">
      <text>
        <r>
          <rPr>
            <b/>
            <sz val="9"/>
            <color indexed="81"/>
            <rFont val="Tahoma"/>
            <family val="2"/>
          </rPr>
          <t>Akash N G:</t>
        </r>
        <r>
          <rPr>
            <sz val="9"/>
            <color indexed="81"/>
            <rFont val="Tahoma"/>
            <family val="2"/>
          </rPr>
          <t xml:space="preserve">
Wall height
</t>
        </r>
      </text>
    </comment>
    <comment ref="M393" authorId="0" shapeId="0" xr:uid="{523A9E6F-E110-4CEE-9C36-7B82FD0400BA}">
      <text>
        <r>
          <rPr>
            <b/>
            <sz val="9"/>
            <color indexed="81"/>
            <rFont val="Tahoma"/>
            <family val="2"/>
          </rPr>
          <t>Akash N G:</t>
        </r>
        <r>
          <rPr>
            <sz val="9"/>
            <color indexed="81"/>
            <rFont val="Tahoma"/>
            <family val="2"/>
          </rPr>
          <t xml:space="preserve">
Wall height
</t>
        </r>
      </text>
    </comment>
    <comment ref="M415" authorId="0" shapeId="0" xr:uid="{3D5985EF-53BE-4890-AA28-F328B5CEB67B}">
      <text>
        <r>
          <rPr>
            <b/>
            <sz val="9"/>
            <color indexed="81"/>
            <rFont val="Tahoma"/>
            <family val="2"/>
          </rPr>
          <t>Akash N G:</t>
        </r>
        <r>
          <rPr>
            <sz val="9"/>
            <color indexed="81"/>
            <rFont val="Tahoma"/>
            <family val="2"/>
          </rPr>
          <t xml:space="preserve">
Wall height
</t>
        </r>
      </text>
    </comment>
    <comment ref="M437" authorId="0" shapeId="0" xr:uid="{A6FC34D5-A581-4C3B-BD87-21327C2A37C8}">
      <text>
        <r>
          <rPr>
            <b/>
            <sz val="9"/>
            <color indexed="81"/>
            <rFont val="Tahoma"/>
            <family val="2"/>
          </rPr>
          <t>Akash N G:</t>
        </r>
        <r>
          <rPr>
            <sz val="9"/>
            <color indexed="81"/>
            <rFont val="Tahoma"/>
            <family val="2"/>
          </rPr>
          <t xml:space="preserve">
Wall height
</t>
        </r>
      </text>
    </comment>
    <comment ref="M459" authorId="0" shapeId="0" xr:uid="{261DF050-B86D-40C8-8D57-C07A90B5B074}">
      <text>
        <r>
          <rPr>
            <b/>
            <sz val="9"/>
            <color indexed="81"/>
            <rFont val="Tahoma"/>
            <family val="2"/>
          </rPr>
          <t>Akash N G:</t>
        </r>
        <r>
          <rPr>
            <sz val="9"/>
            <color indexed="81"/>
            <rFont val="Tahoma"/>
            <family val="2"/>
          </rPr>
          <t xml:space="preserve">
Wall height
</t>
        </r>
      </text>
    </comment>
    <comment ref="M481" authorId="0" shapeId="0" xr:uid="{2192AC6A-D5C2-49CB-8AD4-15F0FB87DD2E}">
      <text>
        <r>
          <rPr>
            <b/>
            <sz val="9"/>
            <color indexed="81"/>
            <rFont val="Tahoma"/>
            <family val="2"/>
          </rPr>
          <t>Akash N G:</t>
        </r>
        <r>
          <rPr>
            <sz val="9"/>
            <color indexed="81"/>
            <rFont val="Tahoma"/>
            <family val="2"/>
          </rPr>
          <t xml:space="preserve">
Wall height
</t>
        </r>
      </text>
    </comment>
    <comment ref="M503" authorId="0" shapeId="0" xr:uid="{3D1AB923-2430-431E-987B-A70D778EC4A1}">
      <text>
        <r>
          <rPr>
            <b/>
            <sz val="9"/>
            <color indexed="81"/>
            <rFont val="Tahoma"/>
            <family val="2"/>
          </rPr>
          <t>Akash N G:</t>
        </r>
        <r>
          <rPr>
            <sz val="9"/>
            <color indexed="81"/>
            <rFont val="Tahoma"/>
            <family val="2"/>
          </rPr>
          <t xml:space="preserve">
Wall height
</t>
        </r>
      </text>
    </comment>
    <comment ref="M525" authorId="0" shapeId="0" xr:uid="{AFD31EDC-7B4D-4F45-AEE5-6BA9275B342B}">
      <text>
        <r>
          <rPr>
            <b/>
            <sz val="9"/>
            <color indexed="81"/>
            <rFont val="Tahoma"/>
            <family val="2"/>
          </rPr>
          <t>Akash N G:</t>
        </r>
        <r>
          <rPr>
            <sz val="9"/>
            <color indexed="81"/>
            <rFont val="Tahoma"/>
            <family val="2"/>
          </rPr>
          <t xml:space="preserve">
Wall height
</t>
        </r>
      </text>
    </comment>
    <comment ref="M547" authorId="0" shapeId="0" xr:uid="{6C522AF2-AFAA-4611-9AAC-207BCB5AD3C5}">
      <text>
        <r>
          <rPr>
            <b/>
            <sz val="9"/>
            <color indexed="81"/>
            <rFont val="Tahoma"/>
            <family val="2"/>
          </rPr>
          <t>Akash N G:</t>
        </r>
        <r>
          <rPr>
            <sz val="9"/>
            <color indexed="81"/>
            <rFont val="Tahoma"/>
            <family val="2"/>
          </rPr>
          <t xml:space="preserve">
Wall height
</t>
        </r>
      </text>
    </comment>
    <comment ref="M569" authorId="0" shapeId="0" xr:uid="{89628DDD-691D-44C9-AE82-DADA4E740FF1}">
      <text>
        <r>
          <rPr>
            <b/>
            <sz val="9"/>
            <color indexed="81"/>
            <rFont val="Tahoma"/>
            <family val="2"/>
          </rPr>
          <t>Akash N G:</t>
        </r>
        <r>
          <rPr>
            <sz val="9"/>
            <color indexed="81"/>
            <rFont val="Tahoma"/>
            <family val="2"/>
          </rPr>
          <t xml:space="preserve">
Wall height
</t>
        </r>
      </text>
    </comment>
    <comment ref="M591" authorId="0" shapeId="0" xr:uid="{49CF916D-FB4E-45C3-B7E9-92B606A6D14C}">
      <text>
        <r>
          <rPr>
            <b/>
            <sz val="9"/>
            <color indexed="81"/>
            <rFont val="Tahoma"/>
            <family val="2"/>
          </rPr>
          <t>Akash N G:</t>
        </r>
        <r>
          <rPr>
            <sz val="9"/>
            <color indexed="81"/>
            <rFont val="Tahoma"/>
            <family val="2"/>
          </rPr>
          <t xml:space="preserve">
Wall height
</t>
        </r>
      </text>
    </comment>
    <comment ref="M613" authorId="0" shapeId="0" xr:uid="{2AAC45F0-204F-418D-A6A5-7C5D7516D3F1}">
      <text>
        <r>
          <rPr>
            <b/>
            <sz val="9"/>
            <color indexed="81"/>
            <rFont val="Tahoma"/>
            <family val="2"/>
          </rPr>
          <t>Akash N G:</t>
        </r>
        <r>
          <rPr>
            <sz val="9"/>
            <color indexed="81"/>
            <rFont val="Tahoma"/>
            <family val="2"/>
          </rPr>
          <t xml:space="preserve">
Wall height
</t>
        </r>
      </text>
    </comment>
    <comment ref="M635" authorId="0" shapeId="0" xr:uid="{E2635E86-E7DB-4F1B-B191-80C8AC8549FA}">
      <text>
        <r>
          <rPr>
            <b/>
            <sz val="9"/>
            <color indexed="81"/>
            <rFont val="Tahoma"/>
            <family val="2"/>
          </rPr>
          <t>Akash N G:</t>
        </r>
        <r>
          <rPr>
            <sz val="9"/>
            <color indexed="81"/>
            <rFont val="Tahoma"/>
            <family val="2"/>
          </rPr>
          <t xml:space="preserve">
Wall height
</t>
        </r>
      </text>
    </comment>
    <comment ref="M659" authorId="0" shapeId="0" xr:uid="{BEB3D4BE-8F1D-496D-BAE4-D5232ED08A91}">
      <text>
        <r>
          <rPr>
            <b/>
            <sz val="9"/>
            <color indexed="81"/>
            <rFont val="Tahoma"/>
            <family val="2"/>
          </rPr>
          <t>Akash N G:</t>
        </r>
        <r>
          <rPr>
            <sz val="9"/>
            <color indexed="81"/>
            <rFont val="Tahoma"/>
            <family val="2"/>
          </rPr>
          <t xml:space="preserve">
Wall height
</t>
        </r>
      </text>
    </comment>
    <comment ref="M681" authorId="0" shapeId="0" xr:uid="{E59B6DF4-3255-480F-BF70-750586A54FFC}">
      <text>
        <r>
          <rPr>
            <b/>
            <sz val="9"/>
            <color indexed="81"/>
            <rFont val="Tahoma"/>
            <family val="2"/>
          </rPr>
          <t>Akash N G:</t>
        </r>
        <r>
          <rPr>
            <sz val="9"/>
            <color indexed="81"/>
            <rFont val="Tahoma"/>
            <family val="2"/>
          </rPr>
          <t xml:space="preserve">
Wall height
</t>
        </r>
      </text>
    </comment>
    <comment ref="M703" authorId="0" shapeId="0" xr:uid="{9F99B29F-101F-4576-9CB6-CCD70BEA9A4A}">
      <text>
        <r>
          <rPr>
            <b/>
            <sz val="9"/>
            <color indexed="81"/>
            <rFont val="Tahoma"/>
            <family val="2"/>
          </rPr>
          <t>Akash N G:</t>
        </r>
        <r>
          <rPr>
            <sz val="9"/>
            <color indexed="81"/>
            <rFont val="Tahoma"/>
            <family val="2"/>
          </rPr>
          <t xml:space="preserve">
Wall height
</t>
        </r>
      </text>
    </comment>
    <comment ref="M725" authorId="0" shapeId="0" xr:uid="{72B36FC7-872A-4C32-BC2D-06B6181600BD}">
      <text>
        <r>
          <rPr>
            <b/>
            <sz val="9"/>
            <color indexed="81"/>
            <rFont val="Tahoma"/>
            <family val="2"/>
          </rPr>
          <t>Akash N G:</t>
        </r>
        <r>
          <rPr>
            <sz val="9"/>
            <color indexed="81"/>
            <rFont val="Tahoma"/>
            <family val="2"/>
          </rPr>
          <t xml:space="preserve">
Wall height
</t>
        </r>
      </text>
    </comment>
    <comment ref="M747" authorId="0" shapeId="0" xr:uid="{E87F0008-EDBA-49D3-950C-CC33160CB23E}">
      <text>
        <r>
          <rPr>
            <b/>
            <sz val="9"/>
            <color indexed="81"/>
            <rFont val="Tahoma"/>
            <family val="2"/>
          </rPr>
          <t>Akash N G:</t>
        </r>
        <r>
          <rPr>
            <sz val="9"/>
            <color indexed="81"/>
            <rFont val="Tahoma"/>
            <family val="2"/>
          </rPr>
          <t xml:space="preserve">
Wall height
</t>
        </r>
      </text>
    </comment>
    <comment ref="M769" authorId="0" shapeId="0" xr:uid="{FD1D7679-8D44-4666-8C7F-03973444218B}">
      <text>
        <r>
          <rPr>
            <b/>
            <sz val="9"/>
            <color indexed="81"/>
            <rFont val="Tahoma"/>
            <family val="2"/>
          </rPr>
          <t>Akash N G:</t>
        </r>
        <r>
          <rPr>
            <sz val="9"/>
            <color indexed="81"/>
            <rFont val="Tahoma"/>
            <family val="2"/>
          </rPr>
          <t xml:space="preserve">
Wall height
</t>
        </r>
      </text>
    </comment>
    <comment ref="M791" authorId="0" shapeId="0" xr:uid="{837A6BF9-F1C4-40DC-8BCC-1A78AEE417AF}">
      <text>
        <r>
          <rPr>
            <b/>
            <sz val="9"/>
            <color indexed="81"/>
            <rFont val="Tahoma"/>
            <family val="2"/>
          </rPr>
          <t>Akash N G:</t>
        </r>
        <r>
          <rPr>
            <sz val="9"/>
            <color indexed="81"/>
            <rFont val="Tahoma"/>
            <family val="2"/>
          </rPr>
          <t xml:space="preserve">
Wall height
</t>
        </r>
      </text>
    </comment>
    <comment ref="M813" authorId="0" shapeId="0" xr:uid="{F403BE85-8291-4E0F-9846-46BD88DCB157}">
      <text>
        <r>
          <rPr>
            <b/>
            <sz val="9"/>
            <color indexed="81"/>
            <rFont val="Tahoma"/>
            <family val="2"/>
          </rPr>
          <t>Akash N G:</t>
        </r>
        <r>
          <rPr>
            <sz val="9"/>
            <color indexed="81"/>
            <rFont val="Tahoma"/>
            <family val="2"/>
          </rPr>
          <t xml:space="preserve">
Wall height
</t>
        </r>
      </text>
    </comment>
    <comment ref="M835" authorId="0" shapeId="0" xr:uid="{89D8E05D-AC77-4AF4-A3EE-0D3184A13B92}">
      <text>
        <r>
          <rPr>
            <b/>
            <sz val="9"/>
            <color indexed="81"/>
            <rFont val="Tahoma"/>
            <family val="2"/>
          </rPr>
          <t>Akash N G:</t>
        </r>
        <r>
          <rPr>
            <sz val="9"/>
            <color indexed="81"/>
            <rFont val="Tahoma"/>
            <family val="2"/>
          </rPr>
          <t xml:space="preserve">
Wall height
</t>
        </r>
      </text>
    </comment>
    <comment ref="M857" authorId="0" shapeId="0" xr:uid="{01976090-63D7-4D92-BDDA-DDECA47A1D56}">
      <text>
        <r>
          <rPr>
            <b/>
            <sz val="9"/>
            <color indexed="81"/>
            <rFont val="Tahoma"/>
            <family val="2"/>
          </rPr>
          <t>Akash N G:</t>
        </r>
        <r>
          <rPr>
            <sz val="9"/>
            <color indexed="81"/>
            <rFont val="Tahoma"/>
            <family val="2"/>
          </rPr>
          <t xml:space="preserve">
Wall height
</t>
        </r>
      </text>
    </comment>
    <comment ref="M879" authorId="0" shapeId="0" xr:uid="{8935B382-30CF-460B-B980-9F31AD61925B}">
      <text>
        <r>
          <rPr>
            <b/>
            <sz val="9"/>
            <color indexed="81"/>
            <rFont val="Tahoma"/>
            <family val="2"/>
          </rPr>
          <t>Akash N G:</t>
        </r>
        <r>
          <rPr>
            <sz val="9"/>
            <color indexed="81"/>
            <rFont val="Tahoma"/>
            <family val="2"/>
          </rPr>
          <t xml:space="preserve">
Wall height
</t>
        </r>
      </text>
    </comment>
    <comment ref="M901" authorId="0" shapeId="0" xr:uid="{61499672-DC82-4A57-BEA1-21ED0F54A48D}">
      <text>
        <r>
          <rPr>
            <b/>
            <sz val="9"/>
            <color indexed="81"/>
            <rFont val="Tahoma"/>
            <family val="2"/>
          </rPr>
          <t>Akash N G:</t>
        </r>
        <r>
          <rPr>
            <sz val="9"/>
            <color indexed="81"/>
            <rFont val="Tahoma"/>
            <family val="2"/>
          </rPr>
          <t xml:space="preserve">
Wall height
</t>
        </r>
      </text>
    </comment>
    <comment ref="M923" authorId="0" shapeId="0" xr:uid="{3113D60C-60C7-4EA4-9897-9EB35068FEAF}">
      <text>
        <r>
          <rPr>
            <b/>
            <sz val="9"/>
            <color indexed="81"/>
            <rFont val="Tahoma"/>
            <family val="2"/>
          </rPr>
          <t>Akash N G:</t>
        </r>
        <r>
          <rPr>
            <sz val="9"/>
            <color indexed="81"/>
            <rFont val="Tahoma"/>
            <family val="2"/>
          </rPr>
          <t xml:space="preserve">
Wall height
</t>
        </r>
      </text>
    </comment>
    <comment ref="M945" authorId="0" shapeId="0" xr:uid="{08C76858-4C5A-41D3-A8B1-57AD6B8F827B}">
      <text>
        <r>
          <rPr>
            <b/>
            <sz val="9"/>
            <color indexed="81"/>
            <rFont val="Tahoma"/>
            <family val="2"/>
          </rPr>
          <t>Akash N G:</t>
        </r>
        <r>
          <rPr>
            <sz val="9"/>
            <color indexed="81"/>
            <rFont val="Tahoma"/>
            <family val="2"/>
          </rPr>
          <t xml:space="preserve">
Wall height
</t>
        </r>
      </text>
    </comment>
    <comment ref="M967" authorId="0" shapeId="0" xr:uid="{B8DFE15F-3491-4346-95BA-FB39681D3C70}">
      <text>
        <r>
          <rPr>
            <b/>
            <sz val="9"/>
            <color indexed="81"/>
            <rFont val="Tahoma"/>
            <family val="2"/>
          </rPr>
          <t>Akash N G:</t>
        </r>
        <r>
          <rPr>
            <sz val="9"/>
            <color indexed="81"/>
            <rFont val="Tahoma"/>
            <family val="2"/>
          </rPr>
          <t xml:space="preserve">
Wall height
</t>
        </r>
      </text>
    </comment>
    <comment ref="M989" authorId="0" shapeId="0" xr:uid="{6C4F4554-7011-4B54-AB18-2E3CC92A8979}">
      <text>
        <r>
          <rPr>
            <b/>
            <sz val="9"/>
            <color indexed="81"/>
            <rFont val="Tahoma"/>
            <family val="2"/>
          </rPr>
          <t>Akash N G:</t>
        </r>
        <r>
          <rPr>
            <sz val="9"/>
            <color indexed="81"/>
            <rFont val="Tahoma"/>
            <family val="2"/>
          </rPr>
          <t xml:space="preserve">
Wall height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Akash N G</author>
  </authors>
  <commentList>
    <comment ref="G181" authorId="0" shapeId="0" xr:uid="{D82B8BBB-CA68-4CB9-98E0-4B331FBC0B66}">
      <text>
        <r>
          <rPr>
            <b/>
            <sz val="9"/>
            <color indexed="81"/>
            <rFont val="Tahoma"/>
            <family val="2"/>
          </rPr>
          <t>Akash N G:</t>
        </r>
        <r>
          <rPr>
            <sz val="9"/>
            <color indexed="81"/>
            <rFont val="Tahoma"/>
            <family val="2"/>
          </rPr>
          <t xml:space="preserve">
Unit wieght of steel lbs/ft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Akash N G</author>
  </authors>
  <commentList>
    <comment ref="F9" authorId="0" shapeId="0" xr:uid="{A477BA15-2667-4A4E-BA5A-BCA6990CF61B}">
      <text>
        <r>
          <rPr>
            <b/>
            <sz val="9"/>
            <color indexed="81"/>
            <rFont val="Tahoma"/>
            <family val="2"/>
          </rPr>
          <t>Converted into Rolls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Akash N G</author>
  </authors>
  <commentList>
    <comment ref="M16" authorId="0" shapeId="0" xr:uid="{A3C180F6-F845-4A6F-B8C7-870F2F4F324C}">
      <text>
        <r>
          <rPr>
            <b/>
            <sz val="9"/>
            <color indexed="81"/>
            <rFont val="Tahoma"/>
            <family val="2"/>
          </rPr>
          <t>Akash N G:</t>
        </r>
        <r>
          <rPr>
            <sz val="9"/>
            <color indexed="81"/>
            <rFont val="Tahoma"/>
            <family val="2"/>
          </rPr>
          <t xml:space="preserve">
Wall height
</t>
        </r>
      </text>
    </comment>
    <comment ref="D21" authorId="0" shapeId="0" xr:uid="{61AA0927-20C1-427F-A268-DA7A618037A0}">
      <text>
        <r>
          <rPr>
            <b/>
            <sz val="9"/>
            <color indexed="81"/>
            <rFont val="Tahoma"/>
            <family val="2"/>
          </rPr>
          <t>Akash N G:</t>
        </r>
        <r>
          <rPr>
            <sz val="9"/>
            <color indexed="81"/>
            <rFont val="Tahoma"/>
            <family val="2"/>
          </rPr>
          <t xml:space="preserve">
Dia gauge sizes required</t>
        </r>
      </text>
    </comment>
    <comment ref="M37" authorId="0" shapeId="0" xr:uid="{FC5EE8A9-85EF-4FDE-B21D-92E9D5EE52B8}">
      <text>
        <r>
          <rPr>
            <b/>
            <sz val="9"/>
            <color indexed="81"/>
            <rFont val="Tahoma"/>
            <family val="2"/>
          </rPr>
          <t>Akash N G:</t>
        </r>
        <r>
          <rPr>
            <sz val="9"/>
            <color indexed="81"/>
            <rFont val="Tahoma"/>
            <family val="2"/>
          </rPr>
          <t xml:space="preserve">
Wall height
</t>
        </r>
      </text>
    </comment>
    <comment ref="D42" authorId="0" shapeId="0" xr:uid="{7F2A92E4-2BE4-4941-87FD-B4B7BE4BDF30}">
      <text>
        <r>
          <rPr>
            <b/>
            <sz val="9"/>
            <color indexed="81"/>
            <rFont val="Tahoma"/>
            <family val="2"/>
          </rPr>
          <t>Akash N G:</t>
        </r>
        <r>
          <rPr>
            <sz val="9"/>
            <color indexed="81"/>
            <rFont val="Tahoma"/>
            <family val="2"/>
          </rPr>
          <t xml:space="preserve">
Dia gauge sizes required</t>
        </r>
      </text>
    </comment>
  </commentList>
</comments>
</file>

<file path=xl/sharedStrings.xml><?xml version="1.0" encoding="utf-8"?>
<sst xmlns="http://schemas.openxmlformats.org/spreadsheetml/2006/main" count="2537" uniqueCount="727">
  <si>
    <t>Sl.No</t>
  </si>
  <si>
    <t>Scope of Works</t>
  </si>
  <si>
    <t>UOM</t>
  </si>
  <si>
    <t>Total Quantity</t>
  </si>
  <si>
    <t>Service rate</t>
  </si>
  <si>
    <t>Total Amount</t>
  </si>
  <si>
    <t>Remarks</t>
  </si>
  <si>
    <t>Rate Reference</t>
  </si>
  <si>
    <t>Old Total Quantity</t>
  </si>
  <si>
    <t>CY</t>
  </si>
  <si>
    <t>Unit</t>
  </si>
  <si>
    <t>Excavation &amp; Backfilling</t>
  </si>
  <si>
    <t>Backfilling with approved granular fill selected from excavated material and /or imported fill according to site soil report recommendation, this fill shall be placed in layers, each layer should not exceed 250 mm in thickness and compacted upto 98% modified proctor &amp; Maximum Dry Density Test and subject to Engineer's approval in making up levels, including compaction and the like.</t>
  </si>
  <si>
    <t>Excavation</t>
  </si>
  <si>
    <t>Excavation For Sewer System</t>
  </si>
  <si>
    <t>Excavation For Drainage Works</t>
  </si>
  <si>
    <t>French Drain Filling from Imported Limerock</t>
  </si>
  <si>
    <t>Water Distribution System</t>
  </si>
  <si>
    <t>FT</t>
  </si>
  <si>
    <t>EA</t>
  </si>
  <si>
    <t>Contingency</t>
  </si>
  <si>
    <t>Drainage Works</t>
  </si>
  <si>
    <t xml:space="preserve">Providing &amp; Laying of Drainge Pipes and jointing with approved sealent as per approved drawings &amp; specifications. Excavation , Filling , ground levelling, maintaing proper slopes &amp; levels as per approved drawings specification &amp; as directed  by Site Superintendent/Project manager. Rate is inclusive of pipe fittings, joineries,solvents ,other consumables, transport loading, unloading and all leads and lifts etc complete. </t>
  </si>
  <si>
    <t>French drain</t>
  </si>
  <si>
    <t>Supply and Installation of French Drain with Specified Size. work should be done as per drawing specifications &amp; instructions given by Site Superintendent. Rate is inclusive of labour charges, lead &amp; lifts, tools and tackles, machineries etc.</t>
  </si>
  <si>
    <t>18" Solid Drainage Pipe</t>
  </si>
  <si>
    <t xml:space="preserve">Catch Basin </t>
  </si>
  <si>
    <t>Nos</t>
  </si>
  <si>
    <t>Baffles for 18" pipe</t>
  </si>
  <si>
    <t>Inlet Frame Type: USF 4700-6223; Type P (R48")</t>
  </si>
  <si>
    <t>LF</t>
  </si>
  <si>
    <t>Sanitary Sewer Pipes 6" P.V.C.</t>
  </si>
  <si>
    <t>Sanitary Sewer 6” Cleanouts</t>
  </si>
  <si>
    <t xml:space="preserve">Manholes- Providing &amp; Installation of Reinforced concrete manhole with all connections &amp; accessories with Man hole cover as per drawing &amp; specifications.Structure manufacture (or) contractor shall confirm all steel reinforcement meet FDOT standards per index 200, section 415 and 425 prior to submitting any shop drawings for approval.Locking gates to be provided as required by city Miami Dade county.Rate is inclusive of pipe fittings, joineries,solvents ,other consumables, transport loading, unloading and all leads and lifts etc complete. </t>
  </si>
  <si>
    <t>Sanitary Manhole (8-10)</t>
  </si>
  <si>
    <t>Sanitary Manhole (6-8)</t>
  </si>
  <si>
    <t>Sanitary Manhole (0-6)</t>
  </si>
  <si>
    <t>PAVING WORKS</t>
  </si>
  <si>
    <t>Asphalt for Roads</t>
  </si>
  <si>
    <t>Supply and Laying of 12" Stabilized Subgrade (LBR40) Compacted to 95% AASTHO T-180, 8" base Course (LBR100), Primed entire width, Compacted to 98% AASTHO T-180 and Asphaltic Concrete Surface course (1-1/2" Thk (2) 3/4" Lift (S-3)). work should be done as per drawing specifications &amp; instructions given by Site Superintendent. Rate is inclusive of labour charges, lead &amp; lifts, tools and tackles, machineries etc.
All material &amp; consumables, tools &amp; tackles &amp; machinery equipment etc. in Contractor scope.</t>
  </si>
  <si>
    <t xml:space="preserve">12" Sub Base for paving </t>
  </si>
  <si>
    <t xml:space="preserve">8" Lime rock Base for paving </t>
  </si>
  <si>
    <t>Asphalt for Roads in 2 lifts</t>
  </si>
  <si>
    <t>Sy</t>
  </si>
  <si>
    <t>Saw cut - Asphalt</t>
  </si>
  <si>
    <t>1" Milling and resurfacing</t>
  </si>
  <si>
    <t xml:space="preserve">WHEEL STOPPER </t>
  </si>
  <si>
    <t>Supply and Installation of Wheel stopper. work should be done as per drawing specifications &amp; instructions given by Site Superintendent. Rate is inclusive of labour charges, lead &amp; lifts, tools and tackles, machineries etc.</t>
  </si>
  <si>
    <t>ADA RAMPS WITH DETECTABLE WARNINGS</t>
  </si>
  <si>
    <t>Supply and Installation of ADA Ramps with M-DCPWD R13.3 with Tactile Mat . work should be done as per drawing specifications &amp;as directed  by Site Superintendent/Project manager Rate is inclusive of labour charges, lead &amp; lifts, tools and tackles, machineries etc.</t>
  </si>
  <si>
    <t>Concrete Works Side Walks</t>
  </si>
  <si>
    <t>Supply, Laying and finishing the surface of Sidewalks with proper 1/2" premoulded expansion Joint. work should be done as per drawing specifications &amp; instructions given by Site Superintendent. Rate is inclusive of labour charges, lead &amp; lifts, tools and tackles, machineries etc.
All material, consumables, tools, tackles, machinery &amp; equipment etc. in Contractor scope.</t>
  </si>
  <si>
    <t>cyd</t>
  </si>
  <si>
    <t>Supply and  Laying Heavy Duty pavers. work should be done as per drawing specifications &amp; instructions given by Site Superintendent. Rate is inclusive of labour charges, lead &amp; lifts, tools and tackles, machineries etc.
All material &amp; consumables, tools &amp; tackles &amp; machinery equipment etc. in Contractor scope.</t>
  </si>
  <si>
    <t>CURB AND GUTTER</t>
  </si>
  <si>
    <t>Type "F" Curb &amp; Gutter - Supply of approved make as per architect Approval &amp; Fixing precast RCC Curb with necessary excavation,Preparation of land, CM grouting and CM pointing etc., complete as detailed in drawings &amp; specifications. Concrete shall be Minimun 3000PSI. Work should be done as directed  by Site Superintendent/Project manager.Rate is inclusive of material ,labour charges, lead &amp; lifts, tools and tackles, machineries etc.</t>
  </si>
  <si>
    <t>Supply and Lying of 2'  valley Gutter. work should be done as per drawing specifications &amp; instructions given by Site Superintendent. Rate is inclusive of labour charges, lead &amp; lifts, tools and tackles, machineries etc.</t>
  </si>
  <si>
    <t>SIGNAGES AND MARKINGS</t>
  </si>
  <si>
    <t>Supply and Installation of signages with proper  marking, excavation and concrete for placing of sign Boards. work should be done as per drawing specifications &amp; instructions given by Site Superintendent. Rate is inclusive of labour charges, lead &amp; lifts, tools and tackles, machineries etc.
All material &amp; consumables, tools &amp; tackles &amp; machinery equipment etc. in Contractor scope.</t>
  </si>
  <si>
    <t>24" White Stop bar</t>
  </si>
  <si>
    <t>6" White Thermo</t>
  </si>
  <si>
    <t>(2) 6" Yellow Thermo</t>
  </si>
  <si>
    <t>50 LF of 2-6" yellow thermo W/Y/Y RPM @ 20" O.C</t>
  </si>
  <si>
    <t>12" White thermo CrossWalk</t>
  </si>
  <si>
    <t>18" white Thermo @ 45"-10' O.C</t>
  </si>
  <si>
    <t>18" Yellow Thermo @ 45"-20' O.C</t>
  </si>
  <si>
    <t>D3-1</t>
  </si>
  <si>
    <t>Turn left Arrow</t>
  </si>
  <si>
    <t>OM4-1</t>
  </si>
  <si>
    <t xml:space="preserve">Stop; R1-1; 30" x 30" </t>
  </si>
  <si>
    <t>W1-7</t>
  </si>
  <si>
    <t xml:space="preserve">Handicap sign </t>
  </si>
  <si>
    <t>NOs</t>
  </si>
  <si>
    <t>Gauge</t>
  </si>
  <si>
    <t>Hardware</t>
  </si>
  <si>
    <t>Landscaping works</t>
  </si>
  <si>
    <t>Supply, Transport and Planting trees and shrubs. Scope of Work includes Excavation, Placing of Plants by Removing burlap from top of the ball and Fetilizer pill evenly Distributed around the root ball, Backfilling with Planting soil, Plant should be supported and placed with the help of ground stake, nails and Bands.  Street stees shall be placed within the swale area where demonstrated to be necessary due to right of way obstrcutions as determined by Miami dade County PWD .Work should be done as per drawing specifications &amp; as directed  by Site Superintendent/Project manager.Rate is including transport loading, unloading and all leads and lifts etc all complete., All materials &amp; consumables, tools &amp; machinery equipment etc. in Contractor scope.</t>
  </si>
  <si>
    <t>Trees</t>
  </si>
  <si>
    <t>Shrubs</t>
  </si>
  <si>
    <t>Interior</t>
  </si>
  <si>
    <t xml:space="preserve">Additional </t>
  </si>
  <si>
    <t>Supply &amp; Placing of  Typical fertilizer</t>
  </si>
  <si>
    <t>NOS</t>
  </si>
  <si>
    <t>Supply &amp; laying Shredded mulch</t>
  </si>
  <si>
    <t>BAG</t>
  </si>
  <si>
    <t>Supply &amp; installation of 2"X 4'S Toe nailed to ground stakes and 2"X 4'S banded to the trees</t>
  </si>
  <si>
    <t>Labour charges for Watering</t>
  </si>
  <si>
    <t>DAY</t>
  </si>
  <si>
    <t>Supply and laying of Sod as per the project requirement.</t>
  </si>
  <si>
    <t>Supply and Installation of SOD</t>
  </si>
  <si>
    <t>SF</t>
  </si>
  <si>
    <t>Level Area to be Sodded, Haul Away Debris</t>
  </si>
  <si>
    <t>Supply of Soil (22 yards per truck)</t>
  </si>
  <si>
    <t>TRUCK</t>
  </si>
  <si>
    <t>Units</t>
  </si>
  <si>
    <t>Surveys &amp; As builts</t>
  </si>
  <si>
    <t xml:space="preserve">Surveys &amp; As builts </t>
  </si>
  <si>
    <t>Sl.no</t>
  </si>
  <si>
    <t>Struct no.</t>
  </si>
  <si>
    <t>Width</t>
  </si>
  <si>
    <t>Total excavation qty in CY</t>
  </si>
  <si>
    <t>Total lime rock filling qty in CY</t>
  </si>
  <si>
    <t>Flora 1</t>
  </si>
  <si>
    <t>EXF TRENCH DEPTH</t>
  </si>
  <si>
    <t>EXF TRENCH
LENGTH</t>
  </si>
  <si>
    <t>Parking lot</t>
  </si>
  <si>
    <t>Football Field</t>
  </si>
  <si>
    <t>Rock Fill Trench</t>
  </si>
  <si>
    <t>Common Green Park Area</t>
  </si>
  <si>
    <t>Mini Soccer</t>
  </si>
  <si>
    <t>center</t>
  </si>
  <si>
    <t>Left</t>
  </si>
  <si>
    <t>Project</t>
  </si>
  <si>
    <t>Flora-Phase-1</t>
  </si>
  <si>
    <t>Scope</t>
  </si>
  <si>
    <t>Existinng level</t>
  </si>
  <si>
    <t>Invert level</t>
  </si>
  <si>
    <t>RIM</t>
  </si>
  <si>
    <t xml:space="preserve">Depth </t>
  </si>
  <si>
    <t xml:space="preserve">Total Excavation Qty </t>
  </si>
  <si>
    <t xml:space="preserve">Total Backfilling Qty </t>
  </si>
  <si>
    <t>Width of Excavation For Pipe  (FT)</t>
  </si>
  <si>
    <t xml:space="preserve">Width </t>
  </si>
  <si>
    <t>ABSTRACT</t>
  </si>
  <si>
    <t>Existing MH</t>
  </si>
  <si>
    <t>Sewer System-Park</t>
  </si>
  <si>
    <t>6" HDPE Solid Pipe</t>
  </si>
  <si>
    <t>PS-7</t>
  </si>
  <si>
    <t>12" Perforated Pipe</t>
  </si>
  <si>
    <t>Solid Pipe Consider 6' on both side</t>
  </si>
  <si>
    <t>Sl no</t>
  </si>
  <si>
    <t>Description</t>
  </si>
  <si>
    <t>Location</t>
  </si>
  <si>
    <t>Length</t>
  </si>
  <si>
    <t>Breadth</t>
  </si>
  <si>
    <t>Height</t>
  </si>
  <si>
    <t>Qty</t>
  </si>
  <si>
    <t>Total</t>
  </si>
  <si>
    <t>Ref sheet</t>
  </si>
  <si>
    <t>Asphalt laying</t>
  </si>
  <si>
    <t>Parking Lot</t>
  </si>
  <si>
    <t>sft</t>
  </si>
  <si>
    <t>Sod Area</t>
  </si>
  <si>
    <t>Corner Right side</t>
  </si>
  <si>
    <t>Football field</t>
  </si>
  <si>
    <t>Corner Left side</t>
  </si>
  <si>
    <t>Area 5</t>
  </si>
  <si>
    <t>Area 4</t>
  </si>
  <si>
    <t>Area 6</t>
  </si>
  <si>
    <t>Area 7</t>
  </si>
  <si>
    <t>Area 8</t>
  </si>
  <si>
    <t>Area 9 Mini Soccer</t>
  </si>
  <si>
    <t>Sanitary Sewer Pipes 12" P.V.C.</t>
  </si>
  <si>
    <t>wildwood_construction_costs_sanitary_sewer.pdf (wildwood-fl.gov)</t>
  </si>
  <si>
    <t>Parking lot curb</t>
  </si>
  <si>
    <t>ft</t>
  </si>
  <si>
    <t>Catch basin</t>
  </si>
  <si>
    <t>Volley Ball</t>
  </si>
  <si>
    <t>length</t>
  </si>
  <si>
    <t>Total Qty</t>
  </si>
  <si>
    <t>Inlet type</t>
  </si>
  <si>
    <t>Frame and grate</t>
  </si>
  <si>
    <t>Detail dwg</t>
  </si>
  <si>
    <t>Type P - 7</t>
  </si>
  <si>
    <t>USF - 301</t>
  </si>
  <si>
    <t>PS-1</t>
  </si>
  <si>
    <t>PS-2</t>
  </si>
  <si>
    <t>PS-3</t>
  </si>
  <si>
    <t>PS-4</t>
  </si>
  <si>
    <t>PS-5</t>
  </si>
  <si>
    <t>PS-6</t>
  </si>
  <si>
    <t>PS-8</t>
  </si>
  <si>
    <t>Park A</t>
  </si>
  <si>
    <t>Park B</t>
  </si>
  <si>
    <t>Park C</t>
  </si>
  <si>
    <t>Average NGVD</t>
  </si>
  <si>
    <t xml:space="preserve">Inv </t>
  </si>
  <si>
    <t>Trench Length</t>
  </si>
  <si>
    <t>18" Solid Pipe Consider 6' on both side</t>
  </si>
  <si>
    <t>Length of Pipe</t>
  </si>
  <si>
    <t>Concrete Side Walk</t>
  </si>
  <si>
    <t>Sl No</t>
  </si>
  <si>
    <t xml:space="preserve">French Drain </t>
  </si>
  <si>
    <t>6" x 6" x 6'-0" Precast Wheel Stop</t>
  </si>
  <si>
    <t>Signages</t>
  </si>
  <si>
    <t>4" White</t>
  </si>
  <si>
    <t>6" Double Yellow</t>
  </si>
  <si>
    <t>24" White T</t>
  </si>
  <si>
    <t>4" Blue</t>
  </si>
  <si>
    <t xml:space="preserve">Concrete Works </t>
  </si>
  <si>
    <t>Basket Ball</t>
  </si>
  <si>
    <t>Company Name</t>
  </si>
  <si>
    <t>ONX Homes</t>
  </si>
  <si>
    <t>Project Name</t>
  </si>
  <si>
    <t>Net Land Area</t>
  </si>
  <si>
    <t>Total Units</t>
  </si>
  <si>
    <t xml:space="preserve">Sl no </t>
  </si>
  <si>
    <t>Description of work</t>
  </si>
  <si>
    <t>Total Budget</t>
  </si>
  <si>
    <t>Per unit</t>
  </si>
  <si>
    <t xml:space="preserve">Per sqft </t>
  </si>
  <si>
    <t>Sewage Collection system</t>
  </si>
  <si>
    <t xml:space="preserve"> </t>
  </si>
  <si>
    <t>Concrete works</t>
  </si>
  <si>
    <t>Signages and Markings</t>
  </si>
  <si>
    <t>Grand Total</t>
  </si>
  <si>
    <t>Flora Park</t>
  </si>
  <si>
    <t>Paving works</t>
  </si>
  <si>
    <t>Sand laying</t>
  </si>
  <si>
    <t>Layer-1</t>
  </si>
  <si>
    <t>Concrete Works Play Ground -4</t>
  </si>
  <si>
    <t>Concrete Works Play Ground -3</t>
  </si>
  <si>
    <t>Concrete Works Play Ground -2</t>
  </si>
  <si>
    <t>Concrete Works Play Ground -1</t>
  </si>
  <si>
    <t>Project name:</t>
  </si>
  <si>
    <t xml:space="preserve">Total land development area: </t>
  </si>
  <si>
    <t>Total unit:</t>
  </si>
  <si>
    <t>WBS code</t>
  </si>
  <si>
    <t>A</t>
  </si>
  <si>
    <t>EXCAVATION &amp; BACKFILL</t>
  </si>
  <si>
    <t xml:space="preserve">Flora Park </t>
  </si>
  <si>
    <t>Central Building</t>
  </si>
  <si>
    <t>Cyd</t>
  </si>
  <si>
    <t>CW2 24 x 16</t>
  </si>
  <si>
    <t>CW2 32 x 16</t>
  </si>
  <si>
    <t>CW2  16 x 12</t>
  </si>
  <si>
    <t>CW2  20 x 12</t>
  </si>
  <si>
    <t>CW2  32 x 12</t>
  </si>
  <si>
    <t>CW2  36 x 12</t>
  </si>
  <si>
    <t>F2 52 x 108 x 24</t>
  </si>
  <si>
    <t>F2 56 x 80 x 20</t>
  </si>
  <si>
    <t>1/3(A1 + A2 + (Sqroot(A1 X A2)H)</t>
  </si>
  <si>
    <t>A1</t>
  </si>
  <si>
    <t>A2</t>
  </si>
  <si>
    <t>H</t>
  </si>
  <si>
    <t>Sqroot</t>
  </si>
  <si>
    <t>Trapezodal Shape Qty</t>
  </si>
  <si>
    <t>Column Steel</t>
  </si>
  <si>
    <t>ST4 3" x 6'' x 3/8"</t>
  </si>
  <si>
    <t>ST5 8" x 8'' x 3/8"</t>
  </si>
  <si>
    <t>ST6 8" x 8'' x 1/2"</t>
  </si>
  <si>
    <t xml:space="preserve">Steel Base Plates of Size 13 x 13 x 3/4" </t>
  </si>
  <si>
    <t>Steel Cap Plate 11 x 13  x 3/4"</t>
  </si>
  <si>
    <t>Bar Name</t>
  </si>
  <si>
    <t>Description of Bar</t>
  </si>
  <si>
    <t>Gauge of Bar(#)</t>
  </si>
  <si>
    <t>Bar Size in Inch</t>
  </si>
  <si>
    <t>Spacing (Inch)</t>
  </si>
  <si>
    <t>Spacing Length (inch)</t>
  </si>
  <si>
    <t>No of Bars</t>
  </si>
  <si>
    <t>No of repetitions</t>
  </si>
  <si>
    <t>Length of Bar (Inch)</t>
  </si>
  <si>
    <t>Shape of Bar</t>
  </si>
  <si>
    <t>Bar length in feet</t>
  </si>
  <si>
    <t>Cutting Length For Each (Inch)</t>
  </si>
  <si>
    <t>Total Length (Feet)</t>
  </si>
  <si>
    <t>Weight of Bar (Lb/ft)</t>
  </si>
  <si>
    <t>B</t>
  </si>
  <si>
    <t>C</t>
  </si>
  <si>
    <t>D</t>
  </si>
  <si>
    <t>E</t>
  </si>
  <si>
    <t>F</t>
  </si>
  <si>
    <t>G</t>
  </si>
  <si>
    <t>1A</t>
  </si>
  <si>
    <t>CW2 - 20X12</t>
  </si>
  <si>
    <t>Bottom Bars - Straight</t>
  </si>
  <si>
    <t>1B</t>
  </si>
  <si>
    <t>1C</t>
  </si>
  <si>
    <t>1D</t>
  </si>
  <si>
    <t>1E</t>
  </si>
  <si>
    <t>1F</t>
  </si>
  <si>
    <t>Bottom Bar - L Bar at ends</t>
  </si>
  <si>
    <t>1G</t>
  </si>
  <si>
    <t>1H</t>
  </si>
  <si>
    <t>1I</t>
  </si>
  <si>
    <t>1J</t>
  </si>
  <si>
    <t>1K</t>
  </si>
  <si>
    <t>Vertical Bars</t>
  </si>
  <si>
    <t>1L</t>
  </si>
  <si>
    <t>1M</t>
  </si>
  <si>
    <t>1N</t>
  </si>
  <si>
    <t>1O</t>
  </si>
  <si>
    <t>1P</t>
  </si>
  <si>
    <t>CW2 - 16X12</t>
  </si>
  <si>
    <t>CW2 - 24X16</t>
  </si>
  <si>
    <t>Length of Beam (Inch)</t>
  </si>
  <si>
    <t>Horizontal Bars</t>
  </si>
  <si>
    <t>A3</t>
  </si>
  <si>
    <t>A4</t>
  </si>
  <si>
    <t>A5</t>
  </si>
  <si>
    <t>A6</t>
  </si>
  <si>
    <t>A8</t>
  </si>
  <si>
    <t>A7</t>
  </si>
  <si>
    <t>A9</t>
  </si>
  <si>
    <t>A10</t>
  </si>
  <si>
    <t>A11</t>
  </si>
  <si>
    <t>A12</t>
  </si>
  <si>
    <t>A13</t>
  </si>
  <si>
    <t>B1</t>
  </si>
  <si>
    <t>B2</t>
  </si>
  <si>
    <t>B3</t>
  </si>
  <si>
    <t>B4</t>
  </si>
  <si>
    <t>B5</t>
  </si>
  <si>
    <t>B6</t>
  </si>
  <si>
    <t>B7</t>
  </si>
  <si>
    <t>B8</t>
  </si>
  <si>
    <t>C1</t>
  </si>
  <si>
    <t>C2</t>
  </si>
  <si>
    <t>C3</t>
  </si>
  <si>
    <t>C4</t>
  </si>
  <si>
    <t>C5</t>
  </si>
  <si>
    <t>C6</t>
  </si>
  <si>
    <t>D1</t>
  </si>
  <si>
    <t>CW2 - 32 X 16</t>
  </si>
  <si>
    <t>D2</t>
  </si>
  <si>
    <t>Item Description</t>
  </si>
  <si>
    <t>Grid</t>
  </si>
  <si>
    <t>Dimension</t>
  </si>
  <si>
    <t>Qty in Uom</t>
  </si>
  <si>
    <t>Uom</t>
  </si>
  <si>
    <t>BOM link</t>
  </si>
  <si>
    <t>L</t>
  </si>
  <si>
    <t>R1</t>
  </si>
  <si>
    <t>cy</t>
  </si>
  <si>
    <t xml:space="preserve">Utility room </t>
  </si>
  <si>
    <t>W8 - 8" Precast bearing wall</t>
  </si>
  <si>
    <t>8B /AB</t>
  </si>
  <si>
    <t>Right wall</t>
  </si>
  <si>
    <t>Restrooms</t>
  </si>
  <si>
    <t>3 - A.4.1</t>
  </si>
  <si>
    <t>W6 - 8" Precast bearing wall</t>
  </si>
  <si>
    <t>W7 - 8" Precast bearing wall</t>
  </si>
  <si>
    <t>Bottom wall</t>
  </si>
  <si>
    <t>Left wall</t>
  </si>
  <si>
    <t>Meeting Room</t>
  </si>
  <si>
    <t>W2 - 8" Precast bearing wall</t>
  </si>
  <si>
    <t>2 - A.3.1</t>
  </si>
  <si>
    <t>W1 - 8" Precast bearing wall</t>
  </si>
  <si>
    <t>Glass Wall</t>
  </si>
  <si>
    <t>5 - A.3.2</t>
  </si>
  <si>
    <t>Top Bars - Straight (Highest Bar)</t>
  </si>
  <si>
    <t>Top Bars - Straight (1st Layer)</t>
  </si>
  <si>
    <t>Top Bars - Straight (2nd Layer)</t>
  </si>
  <si>
    <t>Top Bars - Straight (2nd Layer Down)</t>
  </si>
  <si>
    <t>Top Bars - Straight (2nd Layer Perpendicular)</t>
  </si>
  <si>
    <t>Top Bars - Straight (2nd Layer Down) (4)</t>
  </si>
  <si>
    <t>Foundation</t>
  </si>
  <si>
    <t>Right Side</t>
  </si>
  <si>
    <t>Right Side 1</t>
  </si>
  <si>
    <t>Right Side 2</t>
  </si>
  <si>
    <t>Right Side 3</t>
  </si>
  <si>
    <t>Right Side 4</t>
  </si>
  <si>
    <t>wall 1</t>
  </si>
  <si>
    <t>wall 2</t>
  </si>
  <si>
    <t>W4 - 3 5/8 "  Non load bearing wall</t>
  </si>
  <si>
    <t>W5 - 3 5/8 "  Non load bearing wall</t>
  </si>
  <si>
    <t>wall 3</t>
  </si>
  <si>
    <t>wall 4</t>
  </si>
  <si>
    <t>Footing Concrete</t>
  </si>
  <si>
    <t>Knee Wall</t>
  </si>
  <si>
    <t>Knee Wall1</t>
  </si>
  <si>
    <t>7.B - A.3.1</t>
  </si>
  <si>
    <t>7.B - A.4.2</t>
  </si>
  <si>
    <t>8.B - DB</t>
  </si>
  <si>
    <t xml:space="preserve">8.B </t>
  </si>
  <si>
    <t>Room- Blow GL Concreting</t>
  </si>
  <si>
    <t>DB Right side</t>
  </si>
  <si>
    <t>Shuttering Works</t>
  </si>
  <si>
    <t>Sft</t>
  </si>
  <si>
    <t>CB Area</t>
  </si>
  <si>
    <t>Concrete Roof Slab</t>
  </si>
  <si>
    <t>ST4 3" x 6" x 3/8" HSS Steel Tube</t>
  </si>
  <si>
    <t>ST5 8" x 8" x 3/8" HSS Steel Tube</t>
  </si>
  <si>
    <t>ST6 8" x 8" x 1/2" HSS Steel Tube</t>
  </si>
  <si>
    <t>Unit Weight required lbs per feet</t>
  </si>
  <si>
    <t>Lbs/ft</t>
  </si>
  <si>
    <t>AISC HSS Shapes|Rectangular and Square|Free CAD Blocks (cad-steel.com)</t>
  </si>
  <si>
    <t>For ST4 Columns- Steel Cap plate 9"x 7" x 1/2"</t>
  </si>
  <si>
    <t>For ST5 Columns- Steel Base plate 13"x 13" x 3/4"</t>
  </si>
  <si>
    <t>CW2 - 16 x 12</t>
  </si>
  <si>
    <t>CW2 - 24 x 12</t>
  </si>
  <si>
    <t>Men restroom</t>
  </si>
  <si>
    <t>Cy</t>
  </si>
  <si>
    <t xml:space="preserve">Periphery wall </t>
  </si>
  <si>
    <t xml:space="preserve">Electrical Room </t>
  </si>
  <si>
    <t xml:space="preserve">W8 - 8" Precast bearing wall </t>
  </si>
  <si>
    <t>1 - A.4.4</t>
  </si>
  <si>
    <t>3 - A.4.4</t>
  </si>
  <si>
    <t>3B</t>
  </si>
  <si>
    <t xml:space="preserve">Women restroom &amp; Janitor </t>
  </si>
  <si>
    <t>Ceiling</t>
  </si>
  <si>
    <t>Outside seating area</t>
  </si>
  <si>
    <t xml:space="preserve">Men restroom </t>
  </si>
  <si>
    <t xml:space="preserve">Women Restroom </t>
  </si>
  <si>
    <t xml:space="preserve">Janitor </t>
  </si>
  <si>
    <t xml:space="preserve">Meeting room </t>
  </si>
  <si>
    <t xml:space="preserve">Lobby </t>
  </si>
  <si>
    <t>Kitchenette</t>
  </si>
  <si>
    <t xml:space="preserve">Closet </t>
  </si>
  <si>
    <t xml:space="preserve">AHU </t>
  </si>
  <si>
    <t>Utility</t>
  </si>
  <si>
    <t>L1 BOL EL : 8'-0"</t>
  </si>
  <si>
    <t>L1 BOL EL : 7'-0"</t>
  </si>
  <si>
    <t xml:space="preserve">4" </t>
  </si>
  <si>
    <t>Strutural Steel Column</t>
  </si>
  <si>
    <t>Cap Plates</t>
  </si>
  <si>
    <t>8" Thick Conc. Roof Slab</t>
  </si>
  <si>
    <t>Slab Concrete</t>
  </si>
  <si>
    <t xml:space="preserve">Precast concrete Beam </t>
  </si>
  <si>
    <t xml:space="preserve">Parapet concrete </t>
  </si>
  <si>
    <t>1B1 @11'-8"</t>
  </si>
  <si>
    <t>20 x 20 Size of precast</t>
  </si>
  <si>
    <t>1B3 @11'-8"</t>
  </si>
  <si>
    <t>1B5 @11'-8"</t>
  </si>
  <si>
    <t>12 x 24 Size of precast</t>
  </si>
  <si>
    <t>6 x 20 Size of precast</t>
  </si>
  <si>
    <t>1B7 @11'-8"</t>
  </si>
  <si>
    <t>8 x 14 Size of precast</t>
  </si>
  <si>
    <t>1B6 @11'-8"</t>
  </si>
  <si>
    <t>8 x 32 Size of precast</t>
  </si>
  <si>
    <t>1B8 @11'-8"</t>
  </si>
  <si>
    <t>8 x 18 Size of precast</t>
  </si>
  <si>
    <t>1B4 @11'-8"</t>
  </si>
  <si>
    <t>1B9 @11'-8"</t>
  </si>
  <si>
    <t>24 x 19 Size of precast</t>
  </si>
  <si>
    <t>1B4B @11'-8"</t>
  </si>
  <si>
    <t>External Wall &amp; Internal Wall</t>
  </si>
  <si>
    <t xml:space="preserve">Utility Room </t>
  </si>
  <si>
    <t>W4 - 3 5/8 "  Non load bearing partitions</t>
  </si>
  <si>
    <t xml:space="preserve">Deductions </t>
  </si>
  <si>
    <t>Windows</t>
  </si>
  <si>
    <t xml:space="preserve">Central Building </t>
  </si>
  <si>
    <t>Exterior</t>
  </si>
  <si>
    <t>Entry Lobby</t>
  </si>
  <si>
    <t>Utility Room</t>
  </si>
  <si>
    <t>Men Restroom</t>
  </si>
  <si>
    <t>Janitor</t>
  </si>
  <si>
    <t>Women Restroom</t>
  </si>
  <si>
    <t xml:space="preserve"> Metal door</t>
  </si>
  <si>
    <t>Metal door</t>
  </si>
  <si>
    <t xml:space="preserve"> Window</t>
  </si>
  <si>
    <t>Front door</t>
  </si>
  <si>
    <t>Side glass</t>
  </si>
  <si>
    <t>Rear glass</t>
  </si>
  <si>
    <t xml:space="preserve">Loaction </t>
  </si>
  <si>
    <t>No of Doors</t>
  </si>
  <si>
    <t>AHU</t>
  </si>
  <si>
    <t>Closet</t>
  </si>
  <si>
    <t>Lobby - Meeting Room</t>
  </si>
  <si>
    <t>Lobby - Kitchenette</t>
  </si>
  <si>
    <t>Electrical Room</t>
  </si>
  <si>
    <t>RestRoom</t>
  </si>
  <si>
    <t>Type</t>
  </si>
  <si>
    <t>Materials</t>
  </si>
  <si>
    <t>Aluminium / Glass Clear satin Anodize finish</t>
  </si>
  <si>
    <t>Heavy gauge steel</t>
  </si>
  <si>
    <t>Insulated Heavy Gage Rolling steel Door</t>
  </si>
  <si>
    <t>Solid Wood Door</t>
  </si>
  <si>
    <t>Door No.</t>
  </si>
  <si>
    <t>R2</t>
  </si>
  <si>
    <t>R3</t>
  </si>
  <si>
    <t>E1</t>
  </si>
  <si>
    <t xml:space="preserve">Door Schedule </t>
  </si>
  <si>
    <t xml:space="preserve">Window Schedule </t>
  </si>
  <si>
    <t>A1-A6</t>
  </si>
  <si>
    <t>4'-1"</t>
  </si>
  <si>
    <t>5'-3"</t>
  </si>
  <si>
    <t>B1-B10</t>
  </si>
  <si>
    <t>Single Hung</t>
  </si>
  <si>
    <t>Fixed Glass</t>
  </si>
  <si>
    <t>C1-C8</t>
  </si>
  <si>
    <t>Louver</t>
  </si>
  <si>
    <t>D1-D3</t>
  </si>
  <si>
    <t>29'-3"</t>
  </si>
  <si>
    <t>1'-6"</t>
  </si>
  <si>
    <t>RestRoom &amp; Electrical Room</t>
  </si>
  <si>
    <t>R1-R5</t>
  </si>
  <si>
    <t>Finishing works</t>
  </si>
  <si>
    <t>Drywall</t>
  </si>
  <si>
    <t>Drywall - Finish coat of Portaland Cement plaster</t>
  </si>
  <si>
    <t>Drywall - 5/8" Dense glass</t>
  </si>
  <si>
    <t>Drywall - 1 5/8" Heavy Gage metal studs-16" OC</t>
  </si>
  <si>
    <t>Drywall - Tracks</t>
  </si>
  <si>
    <t>Rft</t>
  </si>
  <si>
    <t>Men &amp; Women RestRoom</t>
  </si>
  <si>
    <t>Women Rest Room</t>
  </si>
  <si>
    <t xml:space="preserve">W9 - 4" Non load bearing Fire rated partition </t>
  </si>
  <si>
    <t>Drywall - 5/8" GWB - Board Type-X</t>
  </si>
  <si>
    <t>Drywall - Apply Bonding Agent Prior to skim coat of smooth sanded plaster</t>
  </si>
  <si>
    <t>Drywall - 3 5/8" - C shapes steel Stud - 20GA</t>
  </si>
  <si>
    <t>Drywall - 3 5/8" - C shapes steel Track - 20GA</t>
  </si>
  <si>
    <t>Drywall - 4" Bat Insulation</t>
  </si>
  <si>
    <t>Painting</t>
  </si>
  <si>
    <t xml:space="preserve">External Painting </t>
  </si>
  <si>
    <t>W5 - 3 5/8 "  Non load bearing partitions</t>
  </si>
  <si>
    <t>3/A.3.3</t>
  </si>
  <si>
    <t>W3 - 3 5/8 "  Non load bearing partitions</t>
  </si>
  <si>
    <t>Closet &amp; AHU</t>
  </si>
  <si>
    <t xml:space="preserve">Excavation </t>
  </si>
  <si>
    <t>Strutural Steel Columns</t>
  </si>
  <si>
    <t>Backfilling</t>
  </si>
  <si>
    <t>Anti terminte treatment</t>
  </si>
  <si>
    <t xml:space="preserve">Plinth area </t>
  </si>
  <si>
    <t>Staircase Concreting</t>
  </si>
  <si>
    <t>Grade Slab Concrete</t>
  </si>
  <si>
    <t>CB Area Ramp Area</t>
  </si>
  <si>
    <t>4" Thick Conc. Grade Slab</t>
  </si>
  <si>
    <t xml:space="preserve">Stairs Shuttering </t>
  </si>
  <si>
    <t>Foundation Concrete</t>
  </si>
  <si>
    <t>Grade Slab Concrete including Ramp Area</t>
  </si>
  <si>
    <t>Grade Slab Shuttering</t>
  </si>
  <si>
    <t>Super structure works</t>
  </si>
  <si>
    <t>Structural Steel Works</t>
  </si>
  <si>
    <t>Lbs</t>
  </si>
  <si>
    <t>Deck Reforcement Slab Steel</t>
  </si>
  <si>
    <t>CMU wall Reinforcement</t>
  </si>
  <si>
    <t>Precast Works</t>
  </si>
  <si>
    <t>Precast Beams</t>
  </si>
  <si>
    <t>Slab Concreting Works</t>
  </si>
  <si>
    <t>Dry Wall Works</t>
  </si>
  <si>
    <t>Doors</t>
  </si>
  <si>
    <t>Aluminium / Glass Clear satin Anodize finish (Single Hung)</t>
  </si>
  <si>
    <t>Aluminium / Glass Clear satin Anodize finish (Fixed Glass)</t>
  </si>
  <si>
    <t>Aluminium (Louver)</t>
  </si>
  <si>
    <t xml:space="preserve">Ceiling </t>
  </si>
  <si>
    <t xml:space="preserve">Utility Room, Men restroom , Women Restroom </t>
  </si>
  <si>
    <t>Meeting room, Kitchenette</t>
  </si>
  <si>
    <t>Internal Painting Works</t>
  </si>
  <si>
    <t xml:space="preserve">Meeting room, </t>
  </si>
  <si>
    <t>Ceiling - Finish coat of Portaland Cement plaster</t>
  </si>
  <si>
    <t>Ceiling - 5/8" Dense glass</t>
  </si>
  <si>
    <t>Ceiling -1 5/8" Heavy Gage metal studs-16" OC</t>
  </si>
  <si>
    <t>Ceiling -Tracks</t>
  </si>
  <si>
    <t>Ceiling -R-19 - Fiberglass Insulation / Attic</t>
  </si>
  <si>
    <t>Ceiling-Easy Sand - Durabond 90</t>
  </si>
  <si>
    <t>Framing screws</t>
  </si>
  <si>
    <t>Drywall screw</t>
  </si>
  <si>
    <t>Drywall screw (for wood struds)</t>
  </si>
  <si>
    <t>Box</t>
  </si>
  <si>
    <t>Fascia</t>
  </si>
  <si>
    <t xml:space="preserve">Painting Works </t>
  </si>
  <si>
    <t>Wall painting Works</t>
  </si>
  <si>
    <t>Ceiling painting Works</t>
  </si>
  <si>
    <t xml:space="preserve">F3 - Sealeast exposed Finish concrete, Exterior grade finish </t>
  </si>
  <si>
    <t>F2 - Porcelain tiles 12"x12" (Hemp)</t>
  </si>
  <si>
    <t>Flooring</t>
  </si>
  <si>
    <t xml:space="preserve">F3-Sealeast exposed Finish concrete, Exterior grade finish </t>
  </si>
  <si>
    <t xml:space="preserve">Baseboard </t>
  </si>
  <si>
    <t xml:space="preserve">B2 - 2'x 6" P.T Wood - White </t>
  </si>
  <si>
    <t xml:space="preserve">B1 - 6"x 8" Porcelain stone </t>
  </si>
  <si>
    <t>F1 - Porcelain tiles 8"x8" (Graphite)</t>
  </si>
  <si>
    <t xml:space="preserve">Transition Strip </t>
  </si>
  <si>
    <t>White Double Bevelled 4"x 36" Marble Threshold Floor</t>
  </si>
  <si>
    <t>White Double Bevelled 6"x 36" Marble Threshold Floor</t>
  </si>
  <si>
    <t>Kitchen Backsplash</t>
  </si>
  <si>
    <t>Laticrete thin-set Mortar</t>
  </si>
  <si>
    <t>Horseshoe shime tile spacer</t>
  </si>
  <si>
    <t xml:space="preserve">Permacolor - (Grout) </t>
  </si>
  <si>
    <t>Floor protection sheet X-Board (Optional)</t>
  </si>
  <si>
    <t>18-Gauge x 3/4 in. Glue Collated Brad Nail (1000 per Box)</t>
  </si>
  <si>
    <t>Bag</t>
  </si>
  <si>
    <t xml:space="preserve">Material </t>
  </si>
  <si>
    <t xml:space="preserve">Service </t>
  </si>
  <si>
    <t xml:space="preserve">Rate </t>
  </si>
  <si>
    <t>Amount</t>
  </si>
  <si>
    <t>Vapour Barrier</t>
  </si>
  <si>
    <t>Grade Slab Area</t>
  </si>
  <si>
    <t>Expansion Joint</t>
  </si>
  <si>
    <t xml:space="preserve">Ramp - Shuttering </t>
  </si>
  <si>
    <t>Wastage in %</t>
  </si>
  <si>
    <t>Total Steel</t>
  </si>
  <si>
    <t>Waterproofing Works</t>
  </si>
  <si>
    <t>Water Proofing Works</t>
  </si>
  <si>
    <t>Nails for Trackfast</t>
  </si>
  <si>
    <t>Paper Joint Tape-2-1/16'' x 500'</t>
  </si>
  <si>
    <t>Mesh Tape for Drywall (Joint)</t>
  </si>
  <si>
    <t>Easy Sand - Durabond 90</t>
  </si>
  <si>
    <t>Sandpaper 150</t>
  </si>
  <si>
    <t>Sandpaper 80</t>
  </si>
  <si>
    <t>120 Grit - Single Angled Sanding Sponge</t>
  </si>
  <si>
    <t>Lb</t>
  </si>
  <si>
    <t>Screw for metal door frame fixing</t>
  </si>
  <si>
    <t>20 Oz Sausage DOWSIL 790 Sandstone Silicone Sealant</t>
  </si>
  <si>
    <t>3/4" Opened Cell Backer Rod</t>
  </si>
  <si>
    <t>Wooden Shims</t>
  </si>
  <si>
    <t>Flat-Head Concrete Anchors (50Pack)</t>
  </si>
  <si>
    <t>BOX</t>
  </si>
  <si>
    <t>Flat-Head Concrete Anchors</t>
  </si>
  <si>
    <t>Plastic Shims</t>
  </si>
  <si>
    <t>Door Painting Area</t>
  </si>
  <si>
    <t>W (Rft)</t>
  </si>
  <si>
    <t>D (Rft)</t>
  </si>
  <si>
    <t>Area (Sft)</t>
  </si>
  <si>
    <t>Backer Rod</t>
  </si>
  <si>
    <t xml:space="preserve">Concrete Cover Compound as base coat - 2 coat on concrete surface only (Wall &amp; ceiling) </t>
  </si>
  <si>
    <t>Concrete Cover Compound as texture coat - Wall &amp; ceiling (all walls) - Magnum SPRAY TEXTURE R-1002/r-1011</t>
  </si>
  <si>
    <t>PVA drywall primer &amp; sealer as primer - 1 coat</t>
  </si>
  <si>
    <t>Interior latex paint (2 coats) for rooms and ceilings incl.toilet -  Extra White Flat - Color: White</t>
  </si>
  <si>
    <t>Stucco works</t>
  </si>
  <si>
    <t>Drylok Extreme Primer- Exterior Waterproofing - 1 coat</t>
  </si>
  <si>
    <t>External Paint</t>
  </si>
  <si>
    <t>Joint compound sealant</t>
  </si>
  <si>
    <t>Stucco corner beading - Aluminium-2"X2"</t>
  </si>
  <si>
    <t>Bonding agent - CB 901 (Blue colour)</t>
  </si>
  <si>
    <t>Sika Repair 223 Mortar</t>
  </si>
  <si>
    <t>SFT</t>
  </si>
  <si>
    <t>LBS</t>
  </si>
  <si>
    <t>Sqft</t>
  </si>
  <si>
    <t>Gallon</t>
  </si>
  <si>
    <t>Bucket</t>
  </si>
  <si>
    <t>External Painting</t>
  </si>
  <si>
    <t>Internal Painting</t>
  </si>
  <si>
    <t>Handrail</t>
  </si>
  <si>
    <t>34" High Metal Handrail</t>
  </si>
  <si>
    <t>Staircase 1</t>
  </si>
  <si>
    <t>Staircase 2</t>
  </si>
  <si>
    <t>Hand Rail</t>
  </si>
  <si>
    <t>Kitchen Cabinets</t>
  </si>
  <si>
    <t>Kitchen Countertop</t>
  </si>
  <si>
    <t>Casegoods</t>
  </si>
  <si>
    <t>Miscellaneous</t>
  </si>
  <si>
    <t>Foundation Misc</t>
  </si>
  <si>
    <t>Found. Services</t>
  </si>
  <si>
    <t>Str. Services</t>
  </si>
  <si>
    <t>Str. Misc</t>
  </si>
  <si>
    <t>Finishing Misc</t>
  </si>
  <si>
    <t>Staircase 1 &amp; 2</t>
  </si>
  <si>
    <t xml:space="preserve">Staircase </t>
  </si>
  <si>
    <t>Staircase</t>
  </si>
  <si>
    <t>Filling inside Foundation</t>
  </si>
  <si>
    <t>Ramp Area</t>
  </si>
  <si>
    <t xml:space="preserve">Filling inside the foundation </t>
  </si>
  <si>
    <t xml:space="preserve">At the peripthery </t>
  </si>
  <si>
    <t>Along the perimeter</t>
  </si>
  <si>
    <t>plinth Area</t>
  </si>
  <si>
    <t xml:space="preserve">Vapour Barrier </t>
  </si>
  <si>
    <t>Grade slab area</t>
  </si>
  <si>
    <t xml:space="preserve">Staircase are </t>
  </si>
  <si>
    <t xml:space="preserve">Along perimeter </t>
  </si>
  <si>
    <t xml:space="preserve">Footing Beam </t>
  </si>
  <si>
    <t>2 - A.4.4</t>
  </si>
  <si>
    <t>Footing Wall</t>
  </si>
  <si>
    <t xml:space="preserve">Grade slab </t>
  </si>
  <si>
    <t xml:space="preserve">landing </t>
  </si>
  <si>
    <t>steps</t>
  </si>
  <si>
    <t>Shuttering works</t>
  </si>
  <si>
    <t>Reinforcement</t>
  </si>
  <si>
    <t>lbs</t>
  </si>
  <si>
    <t>X Axis bars</t>
  </si>
  <si>
    <t>Y Axis bars</t>
  </si>
  <si>
    <t>Inclined Bars
X Axis bars</t>
  </si>
  <si>
    <t>Inclined Bars
Y Axis bars</t>
  </si>
  <si>
    <t>Slab Reinforcement ( X Axis)
Bottom</t>
  </si>
  <si>
    <t>Slab Reinforcement ( Y Axis) Bottom</t>
  </si>
  <si>
    <t>Slab Reinforcement ( X Axis) Top</t>
  </si>
  <si>
    <t>Slab Reinforcement ( Y Axis) Top</t>
  </si>
  <si>
    <t>External Wall</t>
  </si>
  <si>
    <t>Deductions</t>
  </si>
  <si>
    <t>E1 Door</t>
  </si>
  <si>
    <t>R5 Window</t>
  </si>
  <si>
    <t xml:space="preserve">Roof concrete </t>
  </si>
  <si>
    <t xml:space="preserve">24" - Precast Concrete parapet </t>
  </si>
  <si>
    <t>Roof concrete - Restrooms</t>
  </si>
  <si>
    <t xml:space="preserve">Restroom </t>
  </si>
  <si>
    <t>Roof concrete - Electrical Room</t>
  </si>
  <si>
    <t xml:space="preserve">Drywall </t>
  </si>
  <si>
    <t>Women  Restroom</t>
  </si>
  <si>
    <t xml:space="preserve">Men Restroom </t>
  </si>
  <si>
    <t>W7-wall 8" CMU wall</t>
  </si>
  <si>
    <t xml:space="preserve">Janitor Room </t>
  </si>
  <si>
    <t xml:space="preserve">Stairs </t>
  </si>
  <si>
    <t>Flooring works</t>
  </si>
  <si>
    <t xml:space="preserve">Sft </t>
  </si>
  <si>
    <t>Janitor room</t>
  </si>
  <si>
    <t>Hallway</t>
  </si>
  <si>
    <t>Roof covered area</t>
  </si>
  <si>
    <t xml:space="preserve">Ramp Area </t>
  </si>
  <si>
    <t xml:space="preserve">Electrical room </t>
  </si>
  <si>
    <t>W6-wall 8" CMU wall</t>
  </si>
  <si>
    <t>Deduction</t>
  </si>
  <si>
    <t>ceiling</t>
  </si>
  <si>
    <t>Waterproofing works</t>
  </si>
  <si>
    <t>Blocks</t>
  </si>
  <si>
    <t>Parking Area</t>
  </si>
  <si>
    <t>Central Building Area</t>
  </si>
  <si>
    <t>Restroom &amp; Electrical room Area</t>
  </si>
  <si>
    <t xml:space="preserve">Chain link fencing </t>
  </si>
  <si>
    <t>NBA Basket Court</t>
  </si>
  <si>
    <t>Volley Ball Court</t>
  </si>
  <si>
    <t>Soccer Field</t>
  </si>
  <si>
    <t>Foot Ball Field</t>
  </si>
  <si>
    <t>Tables concrete pad</t>
  </si>
  <si>
    <t>Benches concrete pad</t>
  </si>
  <si>
    <t>Play Ground Area</t>
  </si>
  <si>
    <t>Vita course -2</t>
  </si>
  <si>
    <t>Vita course -1</t>
  </si>
  <si>
    <t>Open Play Field</t>
  </si>
  <si>
    <t>Vita course -3 &amp; 4</t>
  </si>
  <si>
    <t>Pole Excavation</t>
  </si>
  <si>
    <t>Outside Area</t>
  </si>
  <si>
    <t>6' Concrete Sidw walks</t>
  </si>
  <si>
    <t>Excavation Works</t>
  </si>
  <si>
    <t>Backfilling Works</t>
  </si>
  <si>
    <t xml:space="preserve">Dumpster </t>
  </si>
  <si>
    <t xml:space="preserve">6" thk 3000 psi conc </t>
  </si>
  <si>
    <t xml:space="preserve">wall Concrete </t>
  </si>
  <si>
    <t>Sand Area</t>
  </si>
  <si>
    <t>Jacaranda mimosifolia</t>
  </si>
  <si>
    <t>Cordia sebestena</t>
  </si>
  <si>
    <t>Chrysophyllum oliviforme</t>
  </si>
  <si>
    <t>Senna surattensis</t>
  </si>
  <si>
    <t>Conocarpus erectus 'sericeus'</t>
  </si>
  <si>
    <t>Bursera simaruba, Gumbo limbo, Street trees</t>
  </si>
  <si>
    <t>Bursera simaruba, Gumbo limbo</t>
  </si>
  <si>
    <t>Bulnesia arborea</t>
  </si>
  <si>
    <t>Quercus virginiana</t>
  </si>
  <si>
    <t>Coccoloba diversiflora</t>
  </si>
  <si>
    <t>Delonix regia</t>
  </si>
  <si>
    <t>Lagerstroemia indica 'Natchez'</t>
  </si>
  <si>
    <t>Agave attenuata, AA</t>
  </si>
  <si>
    <t>Clusia guttifera, CG</t>
  </si>
  <si>
    <t>Chrysobalanus icaco 'Red Tip', CI</t>
  </si>
  <si>
    <t>Ficus microcarpa 'Green Island', FM</t>
  </si>
  <si>
    <t>Hamelia patens, HP</t>
  </si>
  <si>
    <t>Ixora 'Nora Grant', IN</t>
  </si>
  <si>
    <t>Jatropha integerrima, JI</t>
  </si>
  <si>
    <t>Psychotria nervosa, 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</si>
</sst>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quot;₹&quot;\ * #,##0.00_ ;_ &quot;₹&quot;\ * \-#,##0.00_ ;_ &quot;₹&quot;\ * &quot;-&quot;??_ ;_ @_ "/>
    <numFmt numFmtId="165" formatCode="_ * #,##0.00_ ;_ * \-#,##0.00_ ;_ * &quot;-&quot;??_ ;_ @_ "/>
    <numFmt numFmtId="166" formatCode="_(* #,##0_);_(* \(#,##0\);_(* &quot;-&quot;??_);_(@_)"/>
    <numFmt numFmtId="167" formatCode="0.00_);\(0.00\)"/>
    <numFmt numFmtId="168" formatCode="_(&quot;$&quot;* #,##0_);_(&quot;$&quot;* \(#,##0\);_(&quot;$&quot;* &quot;-&quot;??_);_(@_)"/>
    <numFmt numFmtId="169" formatCode="0.00\ &quot;Sqft&quot;"/>
    <numFmt numFmtId="170" formatCode="0.0"/>
  </numFmts>
  <fonts count="3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color rgb="FFFFFFFF"/>
      <name val="Calibri"/>
      <family val="2"/>
      <scheme val="minor"/>
    </font>
    <font>
      <b/>
      <sz val="11"/>
      <name val="Calibri"/>
      <family val="2"/>
      <scheme val="minor"/>
    </font>
    <font>
      <sz val="11"/>
      <name val="Calibri"/>
      <family val="2"/>
      <scheme val="minor"/>
    </font>
    <font>
      <i/>
      <sz val="12"/>
      <color theme="1"/>
      <name val="Calibri"/>
      <family val="2"/>
      <scheme val="minor"/>
    </font>
    <font>
      <sz val="10"/>
      <color theme="1"/>
      <name val="Calibri"/>
      <family val="2"/>
      <scheme val="minor"/>
    </font>
    <font>
      <sz val="10"/>
      <name val="Calibri"/>
      <family val="2"/>
      <scheme val="minor"/>
    </font>
    <font>
      <b/>
      <i/>
      <u/>
      <sz val="11"/>
      <name val="Calibri"/>
      <family val="2"/>
      <scheme val="minor"/>
    </font>
    <font>
      <b/>
      <sz val="10"/>
      <name val="Calibri"/>
      <family val="2"/>
      <scheme val="minor"/>
    </font>
    <font>
      <sz val="9"/>
      <color theme="1"/>
      <name val="Calibri"/>
      <family val="2"/>
      <scheme val="minor"/>
    </font>
    <font>
      <b/>
      <sz val="12"/>
      <color theme="1"/>
      <name val="Calibri"/>
      <family val="2"/>
      <scheme val="minor"/>
    </font>
    <font>
      <sz val="12"/>
      <color theme="1"/>
      <name val="Calibri"/>
      <family val="2"/>
      <scheme val="minor"/>
    </font>
    <font>
      <b/>
      <sz val="12"/>
      <color rgb="FF000000"/>
      <name val="Times New Roman"/>
      <family val="1"/>
    </font>
    <font>
      <b/>
      <sz val="11"/>
      <color rgb="FF000000"/>
      <name val="Times New Roman"/>
      <family val="1"/>
    </font>
    <font>
      <sz val="10"/>
      <color rgb="FF000000"/>
      <name val="Times New Roman"/>
      <family val="1"/>
    </font>
    <font>
      <u/>
      <sz val="11"/>
      <color theme="10"/>
      <name val="Calibri"/>
      <family val="2"/>
      <scheme val="minor"/>
    </font>
    <font>
      <b/>
      <sz val="9"/>
      <color rgb="FF000000"/>
      <name val="Times New Roman"/>
      <family val="1"/>
    </font>
    <font>
      <b/>
      <sz val="9"/>
      <color theme="1"/>
      <name val="Calibri"/>
      <family val="2"/>
      <scheme val="minor"/>
    </font>
    <font>
      <sz val="12"/>
      <name val="Calibri"/>
      <family val="2"/>
      <scheme val="minor"/>
    </font>
    <font>
      <b/>
      <sz val="12"/>
      <name val="Calibri"/>
      <family val="2"/>
      <scheme val="minor"/>
    </font>
    <font>
      <b/>
      <sz val="12"/>
      <color rgb="FFFF0000"/>
      <name val="Calibri"/>
      <family val="2"/>
      <scheme val="minor"/>
    </font>
    <font>
      <b/>
      <i/>
      <sz val="12"/>
      <color theme="1"/>
      <name val="Calibri"/>
      <family val="2"/>
      <scheme val="minor"/>
    </font>
    <font>
      <sz val="10"/>
      <color rgb="FF000000"/>
      <name val="Calibri"/>
      <family val="2"/>
      <scheme val="minor"/>
    </font>
    <font>
      <b/>
      <sz val="10"/>
      <color rgb="FFFFFFFF"/>
      <name val="Calibri"/>
      <family val="2"/>
      <scheme val="minor"/>
    </font>
    <font>
      <b/>
      <sz val="10"/>
      <color rgb="FF000000"/>
      <name val="Calibri"/>
      <family val="2"/>
      <scheme val="minor"/>
    </font>
    <font>
      <sz val="9"/>
      <color indexed="81"/>
      <name val="Tahoma"/>
      <family val="2"/>
    </font>
    <font>
      <b/>
      <sz val="9"/>
      <color indexed="81"/>
      <name val="Tahoma"/>
      <family val="2"/>
    </font>
    <font>
      <sz val="10"/>
      <color rgb="FFFF0000"/>
      <name val="Calibri"/>
      <family val="2"/>
      <scheme val="minor"/>
    </font>
    <font>
      <b/>
      <sz val="10"/>
      <color theme="1"/>
      <name val="Calibri"/>
      <family val="2"/>
      <scheme val="minor"/>
    </font>
    <font>
      <b/>
      <sz val="16"/>
      <color theme="1"/>
      <name val="Calibri"/>
      <family val="2"/>
      <scheme val="minor"/>
    </font>
    <font>
      <sz val="16"/>
      <name val="Calibri"/>
      <family val="2"/>
      <scheme val="minor"/>
    </font>
    <font>
      <sz val="16"/>
      <color theme="1"/>
      <name val="Calibri"/>
      <family val="2"/>
      <scheme val="minor"/>
    </font>
    <font>
      <b/>
      <sz val="9"/>
      <name val="Calibri"/>
      <family val="2"/>
      <scheme val="minor"/>
    </font>
    <font>
      <sz val="9"/>
      <name val="Calibri"/>
      <family val="2"/>
      <scheme val="minor"/>
    </font>
  </fonts>
  <fills count="25">
    <fill>
      <patternFill patternType="none"/>
    </fill>
    <fill>
      <patternFill patternType="gray125"/>
    </fill>
    <fill>
      <patternFill patternType="solid">
        <fgColor theme="1" tint="0.499984740745262"/>
        <bgColor indexed="64"/>
      </patternFill>
    </fill>
    <fill>
      <patternFill patternType="solid">
        <fgColor theme="5" tint="0.59999389629810485"/>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808080"/>
        <bgColor rgb="FF000000"/>
      </patternFill>
    </fill>
    <fill>
      <patternFill patternType="solid">
        <fgColor rgb="FF92D050"/>
        <bgColor rgb="FF000000"/>
      </patternFill>
    </fill>
    <fill>
      <patternFill patternType="solid">
        <fgColor rgb="FFFFFF00"/>
        <bgColor rgb="FF000000"/>
      </patternFill>
    </fill>
    <fill>
      <patternFill patternType="solid">
        <fgColor rgb="FFFCE4D6"/>
        <bgColor rgb="FF000000"/>
      </patternFill>
    </fill>
    <fill>
      <patternFill patternType="solid">
        <fgColor rgb="FFC6E0B4"/>
        <bgColor rgb="FF000000"/>
      </patternFill>
    </fill>
    <fill>
      <patternFill patternType="solid">
        <fgColor rgb="FFF4B084"/>
        <bgColor rgb="FF000000"/>
      </patternFill>
    </fill>
    <fill>
      <patternFill patternType="solid">
        <fgColor theme="8" tint="0.79998168889431442"/>
        <bgColor rgb="FF000000"/>
      </patternFill>
    </fill>
    <fill>
      <patternFill patternType="solid">
        <fgColor theme="7" tint="0.79998168889431442"/>
        <bgColor rgb="FF000000"/>
      </patternFill>
    </fill>
    <fill>
      <patternFill patternType="solid">
        <fgColor theme="2"/>
        <bgColor rgb="FF000000"/>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bottom/>
      <diagonal/>
    </border>
    <border>
      <left/>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style="medium">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hair">
        <color indexed="64"/>
      </top>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medium">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right style="medium">
        <color indexed="64"/>
      </right>
      <top/>
      <bottom/>
      <diagonal/>
    </border>
    <border>
      <left style="medium">
        <color indexed="64"/>
      </left>
      <right style="thin">
        <color indexed="64"/>
      </right>
      <top style="hair">
        <color indexed="64"/>
      </top>
      <bottom/>
      <diagonal/>
    </border>
    <border>
      <left style="thin">
        <color indexed="64"/>
      </left>
      <right style="medium">
        <color indexed="64"/>
      </right>
      <top style="hair">
        <color indexed="64"/>
      </top>
      <bottom/>
      <diagonal/>
    </border>
  </borders>
  <cellStyleXfs count="9">
    <xf numFmtId="0" fontId="0" fillId="0" borderId="0"/>
    <xf numFmtId="165"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0" fontId="1" fillId="0" borderId="0"/>
    <xf numFmtId="165" fontId="1" fillId="0" borderId="0" applyFont="0" applyFill="0" applyBorder="0" applyAlignment="0" applyProtection="0"/>
    <xf numFmtId="165" fontId="1" fillId="0" borderId="0" applyFont="0" applyFill="0" applyBorder="0" applyAlignment="0" applyProtection="0"/>
    <xf numFmtId="0" fontId="18" fillId="0" borderId="0" applyNumberFormat="0" applyFill="0" applyBorder="0" applyAlignment="0" applyProtection="0"/>
    <xf numFmtId="0" fontId="17" fillId="0" borderId="0"/>
  </cellStyleXfs>
  <cellXfs count="571">
    <xf numFmtId="0" fontId="0" fillId="0" borderId="0" xfId="0"/>
    <xf numFmtId="0" fontId="4" fillId="2" borderId="1" xfId="0" applyFont="1" applyFill="1" applyBorder="1" applyAlignment="1">
      <alignment horizontal="center" vertical="center" wrapText="1"/>
    </xf>
    <xf numFmtId="43" fontId="4" fillId="2" borderId="1" xfId="3" applyFont="1" applyFill="1" applyBorder="1" applyAlignment="1">
      <alignment horizontal="left" vertical="center" wrapText="1"/>
    </xf>
    <xf numFmtId="166" fontId="4" fillId="2" borderId="1" xfId="3" applyNumberFormat="1" applyFont="1" applyFill="1" applyBorder="1" applyAlignment="1">
      <alignment horizontal="left" vertical="center" wrapText="1"/>
    </xf>
    <xf numFmtId="43" fontId="4" fillId="2" borderId="2" xfId="3" applyFont="1" applyFill="1" applyBorder="1" applyAlignment="1">
      <alignment horizontal="left" vertical="center" wrapText="1"/>
    </xf>
    <xf numFmtId="0" fontId="0" fillId="0" borderId="0" xfId="0" applyAlignment="1">
      <alignment horizontal="left" vertical="center"/>
    </xf>
    <xf numFmtId="0" fontId="5" fillId="3" borderId="1" xfId="0" applyFont="1" applyFill="1" applyBorder="1" applyAlignment="1">
      <alignment horizontal="center" vertical="center"/>
    </xf>
    <xf numFmtId="0" fontId="5" fillId="3" borderId="1" xfId="0" applyFont="1" applyFill="1" applyBorder="1" applyAlignment="1">
      <alignment horizontal="left" vertical="center"/>
    </xf>
    <xf numFmtId="43" fontId="5" fillId="3" borderId="1" xfId="3" applyFont="1" applyFill="1" applyBorder="1" applyAlignment="1">
      <alignment horizontal="left" vertical="center"/>
    </xf>
    <xf numFmtId="43" fontId="6" fillId="0" borderId="1" xfId="3" applyFont="1" applyBorder="1" applyAlignment="1">
      <alignment horizontal="left" vertical="center"/>
    </xf>
    <xf numFmtId="43" fontId="5" fillId="3" borderId="2" xfId="3" applyFont="1" applyFill="1" applyBorder="1" applyAlignment="1">
      <alignment horizontal="left" vertical="center"/>
    </xf>
    <xf numFmtId="0" fontId="6" fillId="0" borderId="0" xfId="0" applyFont="1" applyAlignment="1">
      <alignment horizontal="left" vertical="center"/>
    </xf>
    <xf numFmtId="0" fontId="6" fillId="0" borderId="3" xfId="0" applyFont="1" applyBorder="1" applyAlignment="1">
      <alignment horizontal="center" vertical="center"/>
    </xf>
    <xf numFmtId="43" fontId="6" fillId="0" borderId="3" xfId="3" applyFont="1" applyBorder="1" applyAlignment="1">
      <alignment horizontal="left" vertical="center"/>
    </xf>
    <xf numFmtId="166" fontId="6" fillId="0" borderId="3" xfId="3" applyNumberFormat="1"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center" vertical="center"/>
    </xf>
    <xf numFmtId="43" fontId="6" fillId="0" borderId="4" xfId="3" applyFont="1" applyBorder="1" applyAlignment="1">
      <alignment horizontal="left" vertical="center"/>
    </xf>
    <xf numFmtId="166" fontId="6" fillId="0" borderId="4" xfId="3" applyNumberFormat="1"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center" vertical="center"/>
    </xf>
    <xf numFmtId="43" fontId="6" fillId="0" borderId="5" xfId="3" applyFont="1" applyBorder="1" applyAlignment="1">
      <alignment horizontal="left" vertical="center"/>
    </xf>
    <xf numFmtId="166" fontId="6" fillId="0" borderId="5" xfId="3" applyNumberFormat="1" applyFont="1" applyBorder="1" applyAlignment="1">
      <alignment horizontal="left" vertical="center"/>
    </xf>
    <xf numFmtId="0" fontId="6" fillId="0" borderId="5" xfId="0" applyFont="1" applyBorder="1" applyAlignment="1">
      <alignment horizontal="left" vertical="center"/>
    </xf>
    <xf numFmtId="0" fontId="6" fillId="3" borderId="1" xfId="0" applyFont="1" applyFill="1" applyBorder="1" applyAlignment="1">
      <alignment horizontal="center" vertical="center"/>
    </xf>
    <xf numFmtId="43" fontId="6" fillId="3" borderId="1" xfId="3" applyFont="1" applyFill="1" applyBorder="1" applyAlignment="1">
      <alignment horizontal="left" vertical="center"/>
    </xf>
    <xf numFmtId="166" fontId="5" fillId="3" borderId="1" xfId="3" applyNumberFormat="1" applyFont="1" applyFill="1" applyBorder="1" applyAlignment="1">
      <alignment horizontal="left" vertical="center"/>
    </xf>
    <xf numFmtId="0" fontId="6" fillId="0" borderId="1" xfId="0" applyFont="1" applyBorder="1" applyAlignment="1">
      <alignment horizontal="left" vertical="center"/>
    </xf>
    <xf numFmtId="0" fontId="6" fillId="0" borderId="3" xfId="4" applyFont="1" applyBorder="1" applyAlignment="1">
      <alignment horizontal="left" vertical="center" wrapText="1"/>
    </xf>
    <xf numFmtId="0" fontId="6" fillId="0" borderId="6" xfId="0" applyFont="1" applyBorder="1" applyAlignment="1">
      <alignment horizontal="center" vertical="center"/>
    </xf>
    <xf numFmtId="0" fontId="7" fillId="4" borderId="1" xfId="0" applyFont="1" applyFill="1" applyBorder="1"/>
    <xf numFmtId="43" fontId="6" fillId="0" borderId="6" xfId="3" applyFont="1" applyBorder="1" applyAlignment="1">
      <alignment horizontal="left" vertical="center"/>
    </xf>
    <xf numFmtId="166" fontId="6" fillId="0" borderId="6" xfId="3" applyNumberFormat="1" applyFont="1" applyBorder="1" applyAlignment="1">
      <alignment horizontal="left" vertical="center"/>
    </xf>
    <xf numFmtId="0" fontId="6" fillId="0" borderId="6" xfId="0" applyFont="1" applyBorder="1" applyAlignment="1">
      <alignment horizontal="left" vertical="center"/>
    </xf>
    <xf numFmtId="0" fontId="6" fillId="0" borderId="6" xfId="4" applyFont="1" applyBorder="1" applyAlignment="1">
      <alignment horizontal="left" vertical="center" wrapText="1"/>
    </xf>
    <xf numFmtId="0" fontId="6" fillId="0" borderId="4" xfId="0" applyFont="1" applyBorder="1" applyAlignment="1">
      <alignment horizontal="left" vertical="center" wrapText="1"/>
    </xf>
    <xf numFmtId="43" fontId="6" fillId="0" borderId="4" xfId="3" applyFont="1" applyFill="1" applyBorder="1" applyAlignment="1">
      <alignment horizontal="left" vertical="center"/>
    </xf>
    <xf numFmtId="166" fontId="6" fillId="0" borderId="4" xfId="3" applyNumberFormat="1" applyFont="1" applyFill="1" applyBorder="1" applyAlignment="1">
      <alignment horizontal="left" vertical="center"/>
    </xf>
    <xf numFmtId="0" fontId="6" fillId="0" borderId="5" xfId="0" applyFont="1" applyBorder="1" applyAlignment="1">
      <alignment horizontal="left" vertical="center" wrapText="1"/>
    </xf>
    <xf numFmtId="43" fontId="6" fillId="0" borderId="2" xfId="3" applyFont="1" applyBorder="1" applyAlignment="1">
      <alignment horizontal="left" vertical="center"/>
    </xf>
    <xf numFmtId="0" fontId="6" fillId="5" borderId="4" xfId="0" applyFont="1" applyFill="1" applyBorder="1" applyAlignment="1">
      <alignment horizontal="center" vertical="center"/>
    </xf>
    <xf numFmtId="43" fontId="6" fillId="5" borderId="4" xfId="3" applyFont="1" applyFill="1" applyBorder="1" applyAlignment="1">
      <alignment horizontal="left" vertical="center"/>
    </xf>
    <xf numFmtId="166" fontId="6" fillId="5" borderId="4" xfId="3" applyNumberFormat="1" applyFont="1" applyFill="1" applyBorder="1" applyAlignment="1">
      <alignment horizontal="left" vertical="center"/>
    </xf>
    <xf numFmtId="165" fontId="9" fillId="0" borderId="4" xfId="5" applyFont="1" applyBorder="1" applyAlignment="1"/>
    <xf numFmtId="43" fontId="9" fillId="0" borderId="4" xfId="3" applyFont="1" applyBorder="1" applyAlignment="1">
      <alignment horizontal="left" vertical="center"/>
    </xf>
    <xf numFmtId="43" fontId="6" fillId="0" borderId="3" xfId="3" applyFont="1" applyFill="1" applyBorder="1" applyAlignment="1">
      <alignment horizontal="left" vertical="center"/>
    </xf>
    <xf numFmtId="166" fontId="6" fillId="0" borderId="3" xfId="3" applyNumberFormat="1" applyFont="1" applyFill="1" applyBorder="1" applyAlignment="1">
      <alignment horizontal="left" vertical="center"/>
    </xf>
    <xf numFmtId="43" fontId="6" fillId="0" borderId="2" xfId="3" applyFont="1" applyFill="1" applyBorder="1" applyAlignment="1">
      <alignment horizontal="left" vertical="center"/>
    </xf>
    <xf numFmtId="0" fontId="10" fillId="0" borderId="4" xfId="0" applyFont="1" applyBorder="1" applyAlignment="1">
      <alignment vertical="center" wrapText="1"/>
    </xf>
    <xf numFmtId="0" fontId="5" fillId="0" borderId="4" xfId="0" applyFont="1" applyBorder="1" applyAlignment="1">
      <alignment horizontal="center" vertical="center"/>
    </xf>
    <xf numFmtId="0" fontId="6" fillId="0" borderId="4" xfId="0" applyFont="1" applyBorder="1" applyAlignment="1">
      <alignment vertical="center" wrapText="1"/>
    </xf>
    <xf numFmtId="0" fontId="11" fillId="0" borderId="4" xfId="0" applyFont="1" applyBorder="1" applyAlignment="1">
      <alignment horizontal="left" vertical="center"/>
    </xf>
    <xf numFmtId="0" fontId="6" fillId="0" borderId="5" xfId="4" applyFont="1" applyBorder="1" applyAlignment="1">
      <alignment horizontal="left" vertical="center" wrapText="1"/>
    </xf>
    <xf numFmtId="43" fontId="6" fillId="3" borderId="2" xfId="3" applyFont="1" applyFill="1" applyBorder="1" applyAlignment="1">
      <alignment horizontal="left" vertical="center"/>
    </xf>
    <xf numFmtId="0" fontId="6" fillId="0" borderId="4" xfId="4" applyFont="1" applyBorder="1" applyAlignment="1">
      <alignment horizontal="left" vertical="center" wrapText="1"/>
    </xf>
    <xf numFmtId="0" fontId="5" fillId="0" borderId="3" xfId="0" applyFont="1" applyBorder="1" applyAlignment="1">
      <alignment horizontal="left" vertical="center" wrapText="1"/>
    </xf>
    <xf numFmtId="0" fontId="5" fillId="0" borderId="3" xfId="0" applyFont="1" applyBorder="1" applyAlignment="1">
      <alignment horizontal="center" vertical="center"/>
    </xf>
    <xf numFmtId="0" fontId="6" fillId="0" borderId="4" xfId="0" applyFont="1" applyBorder="1" applyAlignment="1">
      <alignment vertical="top" wrapText="1"/>
    </xf>
    <xf numFmtId="43" fontId="6" fillId="0" borderId="4" xfId="3" applyFont="1" applyFill="1" applyBorder="1" applyAlignment="1">
      <alignment vertical="center"/>
    </xf>
    <xf numFmtId="43" fontId="6" fillId="5" borderId="4" xfId="3" applyFont="1" applyFill="1" applyBorder="1" applyAlignment="1">
      <alignment vertical="center"/>
    </xf>
    <xf numFmtId="0" fontId="5" fillId="0" borderId="4" xfId="0" applyFont="1" applyBorder="1" applyAlignment="1">
      <alignment horizontal="left" vertical="center" wrapText="1"/>
    </xf>
    <xf numFmtId="0" fontId="10" fillId="0" borderId="3" xfId="0" applyFont="1" applyBorder="1" applyAlignment="1">
      <alignment vertical="center" wrapText="1"/>
    </xf>
    <xf numFmtId="43" fontId="6" fillId="0" borderId="3" xfId="3" applyFont="1" applyFill="1" applyBorder="1" applyAlignment="1">
      <alignment vertical="center"/>
    </xf>
    <xf numFmtId="0" fontId="6"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xf>
    <xf numFmtId="43" fontId="2" fillId="0" borderId="4" xfId="3" applyFont="1" applyFill="1" applyBorder="1" applyAlignment="1">
      <alignment vertical="center"/>
    </xf>
    <xf numFmtId="166" fontId="2" fillId="0" borderId="4" xfId="3" applyNumberFormat="1" applyFont="1" applyBorder="1" applyAlignment="1">
      <alignment horizontal="left" vertical="center"/>
    </xf>
    <xf numFmtId="0" fontId="6" fillId="0" borderId="3" xfId="0" applyFont="1" applyBorder="1" applyAlignment="1">
      <alignment vertical="center" wrapText="1"/>
    </xf>
    <xf numFmtId="166" fontId="6" fillId="0" borderId="3" xfId="3" applyNumberFormat="1" applyFont="1" applyFill="1" applyBorder="1" applyAlignment="1">
      <alignment vertical="center"/>
    </xf>
    <xf numFmtId="43" fontId="6" fillId="0" borderId="2" xfId="3" applyFont="1" applyFill="1" applyBorder="1" applyAlignment="1">
      <alignment vertical="center"/>
    </xf>
    <xf numFmtId="0" fontId="0" fillId="0" borderId="5" xfId="0" applyBorder="1" applyAlignment="1">
      <alignment horizontal="center" vertical="center"/>
    </xf>
    <xf numFmtId="0" fontId="0" fillId="0" borderId="5" xfId="0" applyBorder="1" applyAlignment="1">
      <alignment horizontal="left" vertical="center"/>
    </xf>
    <xf numFmtId="43" fontId="0" fillId="0" borderId="5" xfId="3" applyFont="1" applyBorder="1" applyAlignment="1">
      <alignment horizontal="left" vertical="center"/>
    </xf>
    <xf numFmtId="166" fontId="0" fillId="0" borderId="5" xfId="3" applyNumberFormat="1" applyFont="1" applyBorder="1" applyAlignment="1">
      <alignment horizontal="left" vertical="center"/>
    </xf>
    <xf numFmtId="43" fontId="0" fillId="0" borderId="0" xfId="3" applyFont="1" applyBorder="1" applyAlignment="1">
      <alignment horizontal="left" vertical="center"/>
    </xf>
    <xf numFmtId="0" fontId="6" fillId="0" borderId="3" xfId="0" applyFont="1" applyBorder="1" applyAlignment="1">
      <alignment horizontal="left" vertical="center" wrapText="1"/>
    </xf>
    <xf numFmtId="0" fontId="5" fillId="0" borderId="4" xfId="0" applyFont="1" applyBorder="1" applyAlignment="1">
      <alignment horizontal="left" vertical="center"/>
    </xf>
    <xf numFmtId="43" fontId="0" fillId="0" borderId="4" xfId="3" applyFont="1" applyBorder="1" applyAlignment="1">
      <alignment horizontal="left" vertical="center"/>
    </xf>
    <xf numFmtId="0" fontId="3" fillId="0" borderId="4" xfId="0" applyFont="1" applyBorder="1" applyAlignment="1">
      <alignment horizontal="center" vertical="center"/>
    </xf>
    <xf numFmtId="0" fontId="0" fillId="0" borderId="4" xfId="0" applyBorder="1" applyAlignment="1">
      <alignment horizontal="center" vertical="center"/>
    </xf>
    <xf numFmtId="0" fontId="0" fillId="0" borderId="4" xfId="0" applyBorder="1" applyAlignment="1">
      <alignment vertical="center"/>
    </xf>
    <xf numFmtId="43" fontId="0" fillId="0" borderId="0" xfId="3" applyFont="1" applyAlignment="1">
      <alignment horizontal="left" vertical="center"/>
    </xf>
    <xf numFmtId="43" fontId="0" fillId="0" borderId="3" xfId="3" applyFont="1" applyFill="1" applyBorder="1" applyAlignment="1">
      <alignment horizontal="left" vertical="center"/>
    </xf>
    <xf numFmtId="43" fontId="0" fillId="0" borderId="0" xfId="3" applyFont="1" applyFill="1" applyBorder="1" applyAlignment="1">
      <alignment horizontal="left" vertical="center"/>
    </xf>
    <xf numFmtId="0" fontId="0" fillId="0" borderId="0" xfId="0" applyAlignment="1">
      <alignment horizontal="center" vertical="center"/>
    </xf>
    <xf numFmtId="166" fontId="0" fillId="0" borderId="0" xfId="3" applyNumberFormat="1" applyFont="1" applyBorder="1" applyAlignment="1">
      <alignment horizontal="left" vertical="center"/>
    </xf>
    <xf numFmtId="43" fontId="3" fillId="7" borderId="1" xfId="3" applyFont="1" applyFill="1" applyBorder="1" applyAlignment="1">
      <alignment horizontal="center" vertical="center" wrapText="1"/>
    </xf>
    <xf numFmtId="165" fontId="13" fillId="0" borderId="0" xfId="6" applyFont="1" applyAlignment="1">
      <alignment horizontal="center" vertical="center" wrapText="1"/>
    </xf>
    <xf numFmtId="165" fontId="13" fillId="0" borderId="0" xfId="6" applyFont="1" applyAlignment="1">
      <alignment horizontal="center" vertical="center"/>
    </xf>
    <xf numFmtId="0" fontId="0" fillId="0" borderId="1" xfId="0" applyBorder="1" applyAlignment="1">
      <alignment horizontal="center"/>
    </xf>
    <xf numFmtId="0" fontId="3" fillId="0" borderId="1" xfId="0" applyFont="1" applyBorder="1" applyAlignment="1">
      <alignment horizontal="center"/>
    </xf>
    <xf numFmtId="0" fontId="0" fillId="0" borderId="1" xfId="0" applyBorder="1"/>
    <xf numFmtId="165" fontId="13" fillId="0" borderId="1" xfId="6" applyFont="1" applyBorder="1" applyAlignment="1">
      <alignment horizontal="center" vertical="center"/>
    </xf>
    <xf numFmtId="0" fontId="3" fillId="0" borderId="0" xfId="0" applyFont="1"/>
    <xf numFmtId="0" fontId="3" fillId="0" borderId="1" xfId="0" applyFont="1" applyBorder="1" applyAlignment="1">
      <alignment horizontal="center" wrapText="1"/>
    </xf>
    <xf numFmtId="0" fontId="0" fillId="0" borderId="0" xfId="0" applyAlignment="1">
      <alignment horizontal="center"/>
    </xf>
    <xf numFmtId="0" fontId="3" fillId="0" borderId="0" xfId="0" applyFont="1" applyAlignment="1">
      <alignment horizontal="center" vertical="center"/>
    </xf>
    <xf numFmtId="0" fontId="3" fillId="0" borderId="0" xfId="0" applyFont="1" applyAlignment="1">
      <alignment horizontal="left" vertical="center"/>
    </xf>
    <xf numFmtId="0" fontId="14" fillId="0" borderId="1" xfId="0" applyFont="1" applyBorder="1"/>
    <xf numFmtId="0" fontId="14" fillId="0" borderId="0" xfId="0" applyFont="1"/>
    <xf numFmtId="43" fontId="1" fillId="0" borderId="1" xfId="3" applyFont="1" applyBorder="1"/>
    <xf numFmtId="43" fontId="16" fillId="8" borderId="1" xfId="3" applyFont="1" applyFill="1" applyBorder="1" applyAlignment="1">
      <alignment horizontal="center"/>
    </xf>
    <xf numFmtId="43" fontId="1" fillId="0" borderId="0" xfId="3" applyFont="1"/>
    <xf numFmtId="43" fontId="17" fillId="9" borderId="1" xfId="3" applyFont="1" applyFill="1" applyBorder="1" applyAlignment="1">
      <alignment vertical="top" wrapText="1"/>
    </xf>
    <xf numFmtId="43" fontId="17" fillId="8" borderId="1" xfId="3" applyFont="1" applyFill="1" applyBorder="1" applyAlignment="1">
      <alignment vertical="top" wrapText="1"/>
    </xf>
    <xf numFmtId="0" fontId="17" fillId="8" borderId="1" xfId="0" applyFont="1" applyFill="1" applyBorder="1" applyAlignment="1">
      <alignment vertical="top" wrapText="1"/>
    </xf>
    <xf numFmtId="0" fontId="0" fillId="0" borderId="0" xfId="0" applyAlignment="1">
      <alignment vertical="top" wrapText="1"/>
    </xf>
    <xf numFmtId="165" fontId="1" fillId="0" borderId="1" xfId="5" applyFont="1" applyBorder="1"/>
    <xf numFmtId="2" fontId="1" fillId="0" borderId="1" xfId="5" applyNumberFormat="1" applyFont="1" applyFill="1" applyBorder="1" applyAlignment="1"/>
    <xf numFmtId="43" fontId="17" fillId="5" borderId="1" xfId="3" applyFont="1" applyFill="1" applyBorder="1"/>
    <xf numFmtId="165" fontId="1" fillId="0" borderId="1" xfId="5" applyFont="1" applyFill="1" applyBorder="1" applyAlignment="1"/>
    <xf numFmtId="43" fontId="0" fillId="0" borderId="1" xfId="0" applyNumberFormat="1" applyBorder="1"/>
    <xf numFmtId="43" fontId="0" fillId="5" borderId="1" xfId="0" applyNumberFormat="1" applyFill="1" applyBorder="1"/>
    <xf numFmtId="0" fontId="3" fillId="0" borderId="1" xfId="0" applyFont="1" applyBorder="1"/>
    <xf numFmtId="0" fontId="6" fillId="0" borderId="1" xfId="4" applyFont="1" applyBorder="1" applyAlignment="1">
      <alignment horizontal="left" vertical="center" wrapText="1"/>
    </xf>
    <xf numFmtId="0" fontId="6" fillId="0" borderId="1" xfId="0" applyFont="1" applyBorder="1" applyAlignment="1">
      <alignment horizontal="center" vertical="center"/>
    </xf>
    <xf numFmtId="0" fontId="0" fillId="0" borderId="2" xfId="0" applyBorder="1"/>
    <xf numFmtId="0" fontId="0" fillId="0" borderId="1" xfId="0" applyBorder="1" applyAlignment="1">
      <alignment horizontal="center" vertical="center"/>
    </xf>
    <xf numFmtId="0" fontId="13" fillId="10" borderId="7" xfId="0" applyFont="1" applyFill="1" applyBorder="1" applyAlignment="1">
      <alignment horizontal="center" vertical="center"/>
    </xf>
    <xf numFmtId="165" fontId="13" fillId="10" borderId="7" xfId="6" applyFont="1" applyFill="1" applyBorder="1" applyAlignment="1">
      <alignment horizontal="center" vertical="center" wrapText="1"/>
    </xf>
    <xf numFmtId="165" fontId="13" fillId="10" borderId="7" xfId="6" applyFont="1" applyFill="1" applyBorder="1" applyAlignment="1">
      <alignment horizontal="center" vertical="center"/>
    </xf>
    <xf numFmtId="167" fontId="13" fillId="10" borderId="7" xfId="6" applyNumberFormat="1" applyFont="1" applyFill="1" applyBorder="1" applyAlignment="1">
      <alignment horizontal="center" vertical="center"/>
    </xf>
    <xf numFmtId="0" fontId="6" fillId="5" borderId="4" xfId="4" applyFont="1" applyFill="1" applyBorder="1" applyAlignment="1">
      <alignment horizontal="left" vertical="center" wrapText="1"/>
    </xf>
    <xf numFmtId="0" fontId="6" fillId="5" borderId="0" xfId="0" applyFont="1" applyFill="1" applyAlignment="1">
      <alignment horizontal="left" vertical="center"/>
    </xf>
    <xf numFmtId="166" fontId="13" fillId="0" borderId="1" xfId="6" applyNumberFormat="1" applyFont="1" applyBorder="1" applyAlignment="1">
      <alignment vertical="center" wrapText="1"/>
    </xf>
    <xf numFmtId="165" fontId="13" fillId="0" borderId="1" xfId="6" applyFont="1" applyBorder="1" applyAlignment="1">
      <alignment horizontal="center" vertical="center" wrapText="1"/>
    </xf>
    <xf numFmtId="0" fontId="12" fillId="0" borderId="1" xfId="0" applyFont="1" applyBorder="1"/>
    <xf numFmtId="165" fontId="12" fillId="0" borderId="1" xfId="1" applyFont="1" applyBorder="1"/>
    <xf numFmtId="0" fontId="12" fillId="0" borderId="1" xfId="0" applyFont="1" applyBorder="1" applyAlignment="1">
      <alignment horizontal="center"/>
    </xf>
    <xf numFmtId="1" fontId="12" fillId="0" borderId="1" xfId="0" applyNumberFormat="1" applyFont="1" applyBorder="1" applyAlignment="1">
      <alignment horizontal="center"/>
    </xf>
    <xf numFmtId="167" fontId="13" fillId="0" borderId="1" xfId="6" applyNumberFormat="1" applyFont="1" applyBorder="1" applyAlignment="1">
      <alignment horizontal="center" vertical="center"/>
    </xf>
    <xf numFmtId="43" fontId="19" fillId="11" borderId="1" xfId="3" applyFont="1" applyFill="1" applyBorder="1" applyAlignment="1">
      <alignment horizontal="center" vertical="center" wrapText="1"/>
    </xf>
    <xf numFmtId="165" fontId="12" fillId="0" borderId="1" xfId="0" applyNumberFormat="1" applyFont="1" applyBorder="1" applyAlignment="1">
      <alignment horizontal="center"/>
    </xf>
    <xf numFmtId="1" fontId="20" fillId="0" borderId="1" xfId="0" applyNumberFormat="1" applyFont="1" applyBorder="1"/>
    <xf numFmtId="1" fontId="13" fillId="0" borderId="0" xfId="0" applyNumberFormat="1" applyFont="1"/>
    <xf numFmtId="0" fontId="13" fillId="0" borderId="0" xfId="0" applyFont="1"/>
    <xf numFmtId="1" fontId="13" fillId="0" borderId="1" xfId="0" applyNumberFormat="1" applyFont="1" applyBorder="1"/>
    <xf numFmtId="0" fontId="13" fillId="0" borderId="1" xfId="0" applyFont="1" applyBorder="1"/>
    <xf numFmtId="0" fontId="14" fillId="4" borderId="0" xfId="0" applyFont="1" applyFill="1" applyAlignment="1">
      <alignment horizontal="center" vertical="center"/>
    </xf>
    <xf numFmtId="0" fontId="14" fillId="4" borderId="0" xfId="0" applyFont="1" applyFill="1" applyAlignment="1">
      <alignment vertical="center" wrapText="1"/>
    </xf>
    <xf numFmtId="165" fontId="14" fillId="4" borderId="0" xfId="6" applyFont="1" applyFill="1"/>
    <xf numFmtId="164" fontId="14" fillId="4" borderId="0" xfId="2" applyFont="1" applyFill="1"/>
    <xf numFmtId="0" fontId="14" fillId="4" borderId="0" xfId="0" applyFont="1" applyFill="1"/>
    <xf numFmtId="0" fontId="21" fillId="0" borderId="0" xfId="0" applyFont="1" applyAlignment="1">
      <alignment vertical="center" wrapText="1"/>
    </xf>
    <xf numFmtId="165" fontId="22" fillId="0" borderId="0" xfId="6" applyFont="1" applyFill="1"/>
    <xf numFmtId="165" fontId="23" fillId="4" borderId="0" xfId="6" applyFont="1" applyFill="1"/>
    <xf numFmtId="0" fontId="14" fillId="4" borderId="0" xfId="0" applyFont="1" applyFill="1" applyAlignment="1">
      <alignment horizontal="left" vertical="center" wrapText="1"/>
    </xf>
    <xf numFmtId="0" fontId="13" fillId="12" borderId="1" xfId="0" applyFont="1" applyFill="1" applyBorder="1" applyAlignment="1">
      <alignment horizontal="center" vertical="center"/>
    </xf>
    <xf numFmtId="165" fontId="13" fillId="12" borderId="1" xfId="6" applyFont="1" applyFill="1" applyBorder="1" applyAlignment="1">
      <alignment horizontal="center" vertical="center"/>
    </xf>
    <xf numFmtId="164" fontId="13" fillId="12" borderId="1" xfId="2" applyFont="1" applyFill="1" applyBorder="1" applyAlignment="1">
      <alignment horizontal="center" vertical="center"/>
    </xf>
    <xf numFmtId="0" fontId="24" fillId="4" borderId="1" xfId="0" applyFont="1" applyFill="1" applyBorder="1" applyAlignment="1">
      <alignment horizontal="center"/>
    </xf>
    <xf numFmtId="0" fontId="24" fillId="4" borderId="1" xfId="0" applyFont="1" applyFill="1" applyBorder="1"/>
    <xf numFmtId="168" fontId="24" fillId="4" borderId="1" xfId="2" applyNumberFormat="1" applyFont="1" applyFill="1" applyBorder="1"/>
    <xf numFmtId="164" fontId="24" fillId="4" borderId="1" xfId="2" applyFont="1" applyFill="1" applyBorder="1"/>
    <xf numFmtId="0" fontId="24" fillId="0" borderId="1" xfId="0" applyFont="1" applyBorder="1"/>
    <xf numFmtId="0" fontId="13" fillId="4" borderId="0" xfId="0" applyFont="1" applyFill="1"/>
    <xf numFmtId="165" fontId="13" fillId="0" borderId="1" xfId="1" applyFont="1" applyBorder="1"/>
    <xf numFmtId="165" fontId="13" fillId="0" borderId="0" xfId="1" applyFont="1" applyBorder="1"/>
    <xf numFmtId="0" fontId="13" fillId="4" borderId="1" xfId="0" applyFont="1" applyFill="1" applyBorder="1" applyAlignment="1">
      <alignment horizontal="center"/>
    </xf>
    <xf numFmtId="0" fontId="13" fillId="4" borderId="1" xfId="0" applyFont="1" applyFill="1" applyBorder="1"/>
    <xf numFmtId="168" fontId="13" fillId="4" borderId="1" xfId="2" applyNumberFormat="1" applyFont="1" applyFill="1" applyBorder="1"/>
    <xf numFmtId="164" fontId="13" fillId="4" borderId="1" xfId="2" applyFont="1" applyFill="1" applyBorder="1"/>
    <xf numFmtId="2" fontId="13" fillId="12" borderId="1" xfId="0" applyNumberFormat="1" applyFont="1" applyFill="1" applyBorder="1"/>
    <xf numFmtId="168" fontId="13" fillId="12" borderId="1" xfId="2" applyNumberFormat="1" applyFont="1" applyFill="1" applyBorder="1" applyAlignment="1"/>
    <xf numFmtId="164" fontId="13" fillId="12" borderId="1" xfId="2" applyFont="1" applyFill="1" applyBorder="1" applyAlignment="1"/>
    <xf numFmtId="0" fontId="14" fillId="4" borderId="0" xfId="0" applyFont="1" applyFill="1" applyAlignment="1">
      <alignment horizontal="center"/>
    </xf>
    <xf numFmtId="166" fontId="14" fillId="4" borderId="0" xfId="6" applyNumberFormat="1" applyFont="1" applyFill="1"/>
    <xf numFmtId="165" fontId="0" fillId="6" borderId="1" xfId="1" applyFont="1" applyFill="1" applyBorder="1" applyAlignment="1">
      <alignment horizontal="center" vertical="center"/>
    </xf>
    <xf numFmtId="0" fontId="0" fillId="0" borderId="1" xfId="0" applyBorder="1" applyAlignment="1">
      <alignment horizontal="center" vertical="center" wrapText="1"/>
    </xf>
    <xf numFmtId="165" fontId="0" fillId="0" borderId="1" xfId="1" applyFont="1" applyBorder="1" applyAlignment="1">
      <alignment horizontal="center" vertical="center"/>
    </xf>
    <xf numFmtId="0" fontId="0" fillId="0" borderId="0" xfId="0" applyAlignment="1">
      <alignment wrapText="1"/>
    </xf>
    <xf numFmtId="165" fontId="3" fillId="0" borderId="0" xfId="5" applyFont="1" applyBorder="1" applyAlignment="1">
      <alignment horizontal="right" wrapText="1"/>
    </xf>
    <xf numFmtId="165" fontId="3" fillId="0" borderId="0" xfId="5" applyFont="1" applyBorder="1" applyAlignment="1"/>
    <xf numFmtId="169" fontId="3" fillId="0" borderId="0" xfId="5" applyNumberFormat="1" applyFont="1" applyBorder="1" applyAlignment="1">
      <alignment horizontal="left"/>
    </xf>
    <xf numFmtId="0" fontId="3" fillId="0" borderId="0" xfId="5" applyNumberFormat="1" applyFont="1" applyBorder="1" applyAlignment="1">
      <alignment horizontal="left"/>
    </xf>
    <xf numFmtId="166" fontId="3" fillId="0" borderId="1" xfId="5" applyNumberFormat="1" applyFont="1" applyBorder="1" applyAlignment="1">
      <alignment horizontal="center" vertical="center"/>
    </xf>
    <xf numFmtId="165" fontId="3" fillId="0" borderId="1" xfId="5" applyFont="1" applyBorder="1" applyAlignment="1">
      <alignment horizontal="center" vertical="center" wrapText="1"/>
    </xf>
    <xf numFmtId="165" fontId="3" fillId="0" borderId="1" xfId="5" applyFont="1" applyBorder="1" applyAlignment="1">
      <alignment horizontal="center" vertical="center"/>
    </xf>
    <xf numFmtId="165" fontId="3" fillId="0" borderId="0" xfId="5" applyFont="1" applyAlignment="1">
      <alignment horizontal="center" vertical="center"/>
    </xf>
    <xf numFmtId="166" fontId="3" fillId="0" borderId="8" xfId="5" applyNumberFormat="1" applyFont="1" applyBorder="1" applyAlignment="1">
      <alignment horizontal="center" vertical="center"/>
    </xf>
    <xf numFmtId="165" fontId="3" fillId="0" borderId="8" xfId="5" applyFont="1" applyBorder="1" applyAlignment="1">
      <alignment wrapText="1"/>
    </xf>
    <xf numFmtId="165" fontId="0" fillId="0" borderId="8" xfId="5" applyFont="1" applyBorder="1"/>
    <xf numFmtId="166" fontId="0" fillId="0" borderId="8" xfId="5" applyNumberFormat="1" applyFont="1" applyBorder="1"/>
    <xf numFmtId="165" fontId="0" fillId="0" borderId="0" xfId="5" applyFont="1"/>
    <xf numFmtId="166" fontId="0" fillId="8" borderId="8" xfId="5" applyNumberFormat="1" applyFont="1" applyFill="1" applyBorder="1" applyAlignment="1">
      <alignment horizontal="center" vertical="center"/>
    </xf>
    <xf numFmtId="165" fontId="0" fillId="8" borderId="8" xfId="5" applyFont="1" applyFill="1" applyBorder="1" applyAlignment="1">
      <alignment wrapText="1"/>
    </xf>
    <xf numFmtId="165" fontId="0" fillId="8" borderId="8" xfId="5" applyFont="1" applyFill="1" applyBorder="1"/>
    <xf numFmtId="166" fontId="0" fillId="8" borderId="8" xfId="5" applyNumberFormat="1" applyFont="1" applyFill="1" applyBorder="1"/>
    <xf numFmtId="165" fontId="0" fillId="8" borderId="8" xfId="5" applyFont="1" applyFill="1" applyBorder="1" applyAlignment="1"/>
    <xf numFmtId="12" fontId="0" fillId="0" borderId="0" xfId="5" applyNumberFormat="1" applyFont="1"/>
    <xf numFmtId="165" fontId="0" fillId="0" borderId="1" xfId="5" applyFont="1" applyBorder="1"/>
    <xf numFmtId="12" fontId="0" fillId="0" borderId="1" xfId="5" applyNumberFormat="1" applyFont="1" applyBorder="1"/>
    <xf numFmtId="0" fontId="25" fillId="0" borderId="0" xfId="0" applyFont="1"/>
    <xf numFmtId="0" fontId="25" fillId="0" borderId="0" xfId="0" applyFont="1" applyAlignment="1">
      <alignment horizontal="center"/>
    </xf>
    <xf numFmtId="0" fontId="25" fillId="0" borderId="0" xfId="0" applyFont="1" applyAlignment="1">
      <alignment horizontal="center" vertical="center"/>
    </xf>
    <xf numFmtId="0" fontId="26" fillId="13" borderId="0" xfId="0" applyFont="1" applyFill="1" applyAlignment="1">
      <alignment horizontal="center" vertical="center"/>
    </xf>
    <xf numFmtId="0" fontId="26" fillId="13" borderId="0" xfId="0" applyFont="1" applyFill="1" applyAlignment="1">
      <alignment horizontal="center" vertical="center" wrapText="1"/>
    </xf>
    <xf numFmtId="0" fontId="26" fillId="13" borderId="10" xfId="0" applyFont="1" applyFill="1" applyBorder="1" applyAlignment="1">
      <alignment horizontal="center" vertical="center"/>
    </xf>
    <xf numFmtId="0" fontId="26" fillId="13" borderId="1" xfId="0" applyFont="1" applyFill="1" applyBorder="1" applyAlignment="1">
      <alignment horizontal="center" vertical="center"/>
    </xf>
    <xf numFmtId="0" fontId="26" fillId="14" borderId="1" xfId="0" applyFont="1" applyFill="1" applyBorder="1" applyAlignment="1">
      <alignment horizontal="center" vertical="center"/>
    </xf>
    <xf numFmtId="0" fontId="26" fillId="13" borderId="9" xfId="0" applyFont="1" applyFill="1" applyBorder="1" applyAlignment="1">
      <alignment horizontal="center" vertical="center" wrapText="1"/>
    </xf>
    <xf numFmtId="0" fontId="26" fillId="13" borderId="1" xfId="0" applyFont="1" applyFill="1" applyBorder="1" applyAlignment="1">
      <alignment horizontal="center" vertical="center" wrapText="1"/>
    </xf>
    <xf numFmtId="0" fontId="26" fillId="13" borderId="18" xfId="0" applyFont="1" applyFill="1" applyBorder="1" applyAlignment="1">
      <alignment horizontal="center" vertical="center"/>
    </xf>
    <xf numFmtId="0" fontId="25" fillId="0" borderId="1" xfId="0" applyFont="1" applyBorder="1" applyAlignment="1">
      <alignment horizontal="center" vertical="center"/>
    </xf>
    <xf numFmtId="0" fontId="25" fillId="0" borderId="1" xfId="0" applyFont="1" applyBorder="1"/>
    <xf numFmtId="0" fontId="25" fillId="0" borderId="1" xfId="0" applyFont="1" applyBorder="1" applyAlignment="1">
      <alignment horizontal="center"/>
    </xf>
    <xf numFmtId="0" fontId="27" fillId="15" borderId="1" xfId="0" applyFont="1" applyFill="1" applyBorder="1"/>
    <xf numFmtId="0" fontId="25" fillId="0" borderId="10" xfId="0" applyFont="1" applyBorder="1"/>
    <xf numFmtId="0" fontId="25" fillId="0" borderId="22" xfId="0" applyFont="1" applyBorder="1"/>
    <xf numFmtId="0" fontId="25" fillId="0" borderId="23" xfId="0" applyFont="1" applyBorder="1"/>
    <xf numFmtId="0" fontId="25" fillId="0" borderId="24" xfId="0" applyFont="1" applyBorder="1"/>
    <xf numFmtId="0" fontId="25" fillId="0" borderId="17" xfId="0" applyFont="1" applyBorder="1"/>
    <xf numFmtId="0" fontId="25" fillId="0" borderId="12" xfId="0" applyFont="1" applyBorder="1" applyAlignment="1">
      <alignment horizontal="center" vertical="center"/>
    </xf>
    <xf numFmtId="0" fontId="25" fillId="0" borderId="18" xfId="0" applyFont="1" applyBorder="1" applyAlignment="1">
      <alignment vertical="center"/>
    </xf>
    <xf numFmtId="0" fontId="25" fillId="0" borderId="0" xfId="0" applyFont="1" applyAlignment="1">
      <alignment horizontal="right" vertical="top"/>
    </xf>
    <xf numFmtId="0" fontId="27" fillId="0" borderId="0" xfId="0" applyFont="1" applyAlignment="1">
      <alignment horizontal="left" vertical="center"/>
    </xf>
    <xf numFmtId="0" fontId="27" fillId="0" borderId="12" xfId="0" applyFont="1" applyBorder="1" applyAlignment="1">
      <alignment horizontal="right" vertical="center"/>
    </xf>
    <xf numFmtId="0" fontId="25" fillId="0" borderId="0" xfId="0" applyFont="1" applyAlignment="1">
      <alignment horizontal="left"/>
    </xf>
    <xf numFmtId="0" fontId="27" fillId="0" borderId="18" xfId="0" applyFont="1" applyBorder="1" applyAlignment="1">
      <alignment horizontal="left" vertical="center"/>
    </xf>
    <xf numFmtId="0" fontId="25" fillId="0" borderId="25" xfId="0" applyFont="1" applyBorder="1" applyAlignment="1">
      <alignment horizontal="center" vertical="center"/>
    </xf>
    <xf numFmtId="0" fontId="25" fillId="0" borderId="13" xfId="0" applyFont="1" applyBorder="1" applyAlignment="1">
      <alignment horizontal="center" vertical="center"/>
    </xf>
    <xf numFmtId="0" fontId="25" fillId="0" borderId="19" xfId="0" applyFont="1" applyBorder="1" applyAlignment="1">
      <alignment vertical="center"/>
    </xf>
    <xf numFmtId="0" fontId="25" fillId="0" borderId="27" xfId="0" applyFont="1" applyBorder="1" applyAlignment="1">
      <alignment horizontal="left"/>
    </xf>
    <xf numFmtId="0" fontId="25" fillId="0" borderId="28" xfId="0" applyFont="1" applyBorder="1" applyAlignment="1">
      <alignment horizontal="center" vertical="center"/>
    </xf>
    <xf numFmtId="0" fontId="27" fillId="0" borderId="29" xfId="0" applyFont="1" applyBorder="1" applyAlignment="1">
      <alignment horizontal="right" vertical="center"/>
    </xf>
    <xf numFmtId="0" fontId="25" fillId="0" borderId="29" xfId="0" applyFont="1" applyBorder="1" applyAlignment="1">
      <alignment horizontal="center" vertical="center"/>
    </xf>
    <xf numFmtId="0" fontId="25" fillId="0" borderId="8" xfId="0" applyFont="1" applyBorder="1" applyAlignment="1">
      <alignment horizontal="center" vertical="center"/>
    </xf>
    <xf numFmtId="0" fontId="25" fillId="0" borderId="9" xfId="0" applyFont="1" applyBorder="1" applyAlignment="1">
      <alignment horizontal="center" vertical="center"/>
    </xf>
    <xf numFmtId="0" fontId="9" fillId="15" borderId="7" xfId="0" applyFont="1" applyFill="1" applyBorder="1" applyAlignment="1">
      <alignment horizontal="center" vertical="center"/>
    </xf>
    <xf numFmtId="0" fontId="9" fillId="15" borderId="8" xfId="0" applyFont="1" applyFill="1" applyBorder="1" applyAlignment="1">
      <alignment horizontal="center" vertical="center"/>
    </xf>
    <xf numFmtId="0" fontId="9" fillId="15" borderId="9" xfId="0" applyFont="1" applyFill="1" applyBorder="1" applyAlignment="1">
      <alignment horizontal="center" vertical="center"/>
    </xf>
    <xf numFmtId="0" fontId="27" fillId="0" borderId="0" xfId="0" applyFont="1" applyAlignment="1">
      <alignment horizontal="center" vertical="center"/>
    </xf>
    <xf numFmtId="0" fontId="25" fillId="0" borderId="0" xfId="0" applyFont="1" applyAlignment="1">
      <alignment vertical="center"/>
    </xf>
    <xf numFmtId="0" fontId="25" fillId="0" borderId="18" xfId="0" applyFont="1" applyBorder="1" applyAlignment="1">
      <alignment horizontal="center" vertical="center"/>
    </xf>
    <xf numFmtId="0" fontId="11" fillId="17" borderId="0" xfId="0" applyFont="1" applyFill="1" applyAlignment="1">
      <alignment horizontal="center" vertical="center"/>
    </xf>
    <xf numFmtId="0" fontId="11" fillId="17" borderId="7" xfId="0" applyFont="1" applyFill="1" applyBorder="1" applyAlignment="1">
      <alignment horizontal="center" vertical="center" wrapText="1"/>
    </xf>
    <xf numFmtId="0" fontId="11" fillId="17" borderId="39" xfId="0" applyFont="1" applyFill="1" applyBorder="1" applyAlignment="1">
      <alignment horizontal="center" vertical="center"/>
    </xf>
    <xf numFmtId="0" fontId="11" fillId="17" borderId="39" xfId="0" applyFont="1" applyFill="1" applyBorder="1" applyAlignment="1">
      <alignment horizontal="center" vertical="center" wrapText="1"/>
    </xf>
    <xf numFmtId="0" fontId="27" fillId="18" borderId="3" xfId="0" applyFont="1" applyFill="1" applyBorder="1" applyAlignment="1">
      <alignment horizontal="center" vertical="center"/>
    </xf>
    <xf numFmtId="0" fontId="27" fillId="0" borderId="4" xfId="0" applyFont="1" applyBorder="1" applyAlignment="1">
      <alignment horizontal="center" vertical="center"/>
    </xf>
    <xf numFmtId="0" fontId="25" fillId="0" borderId="4" xfId="0" applyFont="1" applyBorder="1" applyAlignment="1">
      <alignment horizontal="left" vertical="center"/>
    </xf>
    <xf numFmtId="0" fontId="25" fillId="0" borderId="4" xfId="0" applyFont="1" applyBorder="1" applyAlignment="1">
      <alignment vertical="center"/>
    </xf>
    <xf numFmtId="0" fontId="25" fillId="0" borderId="4" xfId="0" applyFont="1" applyBorder="1" applyAlignment="1">
      <alignment horizontal="center" vertical="center"/>
    </xf>
    <xf numFmtId="0" fontId="25" fillId="0" borderId="0" xfId="0" applyFont="1" applyAlignment="1">
      <alignment horizontal="left" vertical="center"/>
    </xf>
    <xf numFmtId="0" fontId="9" fillId="0" borderId="4" xfId="0" applyFont="1" applyBorder="1" applyAlignment="1">
      <alignment horizontal="left" vertical="center"/>
    </xf>
    <xf numFmtId="0" fontId="30" fillId="0" borderId="4" xfId="0" applyFont="1" applyBorder="1" applyAlignment="1">
      <alignment horizontal="center" vertical="center"/>
    </xf>
    <xf numFmtId="0" fontId="30" fillId="0" borderId="4" xfId="0" applyFont="1" applyBorder="1" applyAlignment="1">
      <alignment horizontal="left" vertical="center"/>
    </xf>
    <xf numFmtId="0" fontId="30" fillId="0" borderId="0" xfId="0" applyFont="1" applyAlignment="1">
      <alignment horizontal="left" vertical="center"/>
    </xf>
    <xf numFmtId="0" fontId="30" fillId="0" borderId="4" xfId="0" applyFont="1" applyBorder="1" applyAlignment="1">
      <alignment vertical="center"/>
    </xf>
    <xf numFmtId="0" fontId="27" fillId="21" borderId="3" xfId="0" applyFont="1" applyFill="1" applyBorder="1" applyAlignment="1">
      <alignment horizontal="left" vertical="center"/>
    </xf>
    <xf numFmtId="0" fontId="27" fillId="21" borderId="3" xfId="0" applyFont="1" applyFill="1" applyBorder="1" applyAlignment="1">
      <alignment vertical="center"/>
    </xf>
    <xf numFmtId="0" fontId="27" fillId="21" borderId="3" xfId="0" applyFont="1" applyFill="1" applyBorder="1" applyAlignment="1">
      <alignment horizontal="center" vertical="center"/>
    </xf>
    <xf numFmtId="0" fontId="27" fillId="21" borderId="0" xfId="0" applyFont="1" applyFill="1" applyAlignment="1">
      <alignment horizontal="left" vertical="center"/>
    </xf>
    <xf numFmtId="0" fontId="31" fillId="0" borderId="4" xfId="0" applyFont="1" applyBorder="1" applyAlignment="1">
      <alignment horizontal="left" vertical="center"/>
    </xf>
    <xf numFmtId="165" fontId="8" fillId="0" borderId="4" xfId="1" applyFont="1" applyFill="1" applyBorder="1" applyAlignment="1">
      <alignment vertical="center"/>
    </xf>
    <xf numFmtId="170" fontId="25" fillId="0" borderId="4" xfId="0" applyNumberFormat="1" applyFont="1" applyBorder="1" applyAlignment="1">
      <alignment vertical="center"/>
    </xf>
    <xf numFmtId="0" fontId="25" fillId="0" borderId="41" xfId="0" applyFont="1" applyBorder="1" applyAlignment="1">
      <alignment vertical="center"/>
    </xf>
    <xf numFmtId="0" fontId="25" fillId="0" borderId="42" xfId="0" applyFont="1" applyBorder="1" applyAlignment="1">
      <alignment vertical="center"/>
    </xf>
    <xf numFmtId="0" fontId="27" fillId="0" borderId="4" xfId="0" applyFont="1" applyBorder="1" applyAlignment="1">
      <alignment vertical="center"/>
    </xf>
    <xf numFmtId="170" fontId="27" fillId="0" borderId="4" xfId="0" applyNumberFormat="1" applyFont="1" applyBorder="1" applyAlignment="1">
      <alignment vertical="center"/>
    </xf>
    <xf numFmtId="0" fontId="25" fillId="22" borderId="0" xfId="0" applyFont="1" applyFill="1"/>
    <xf numFmtId="0" fontId="25" fillId="22" borderId="0" xfId="0" applyFont="1" applyFill="1" applyAlignment="1">
      <alignment horizontal="center" vertical="center"/>
    </xf>
    <xf numFmtId="0" fontId="27" fillId="22" borderId="0" xfId="0" applyFont="1" applyFill="1" applyAlignment="1">
      <alignment horizontal="center" vertical="center"/>
    </xf>
    <xf numFmtId="0" fontId="25" fillId="22" borderId="0" xfId="0" applyFont="1" applyFill="1" applyAlignment="1">
      <alignment vertical="center"/>
    </xf>
    <xf numFmtId="0" fontId="0" fillId="22" borderId="0" xfId="0" applyFill="1"/>
    <xf numFmtId="0" fontId="31" fillId="0" borderId="4" xfId="0" applyFont="1" applyBorder="1" applyAlignment="1">
      <alignment horizontal="center" vertical="center"/>
    </xf>
    <xf numFmtId="0" fontId="8" fillId="0" borderId="4" xfId="0" applyFont="1" applyBorder="1" applyAlignment="1">
      <alignment horizontal="center" vertical="center"/>
    </xf>
    <xf numFmtId="165" fontId="8" fillId="0" borderId="4" xfId="1" applyFont="1" applyBorder="1" applyAlignment="1">
      <alignment vertical="center"/>
    </xf>
    <xf numFmtId="0" fontId="8" fillId="0" borderId="4" xfId="0" applyFont="1" applyBorder="1" applyAlignment="1">
      <alignment horizontal="left" vertical="center"/>
    </xf>
    <xf numFmtId="165" fontId="8" fillId="0" borderId="0" xfId="5" applyFont="1" applyFill="1" applyAlignment="1">
      <alignment horizontal="right" vertical="center"/>
    </xf>
    <xf numFmtId="0" fontId="8" fillId="0" borderId="0" xfId="0" applyFont="1" applyAlignment="1">
      <alignment horizontal="center" vertical="center"/>
    </xf>
    <xf numFmtId="0" fontId="31" fillId="0" borderId="0" xfId="0" applyFont="1" applyAlignment="1">
      <alignment horizontal="center" vertical="center"/>
    </xf>
    <xf numFmtId="0" fontId="8" fillId="0" borderId="0" xfId="0" applyFont="1" applyAlignment="1">
      <alignment horizontal="left" vertical="center"/>
    </xf>
    <xf numFmtId="165" fontId="8" fillId="0" borderId="0" xfId="5" applyFont="1" applyFill="1" applyBorder="1" applyAlignment="1">
      <alignment horizontal="right" vertical="center"/>
    </xf>
    <xf numFmtId="165" fontId="9" fillId="0" borderId="4" xfId="1" applyFont="1" applyFill="1" applyBorder="1" applyAlignment="1">
      <alignment vertical="center"/>
    </xf>
    <xf numFmtId="0" fontId="31" fillId="6" borderId="4" xfId="0" applyFont="1" applyFill="1" applyBorder="1" applyAlignment="1">
      <alignment horizontal="left" vertical="center"/>
    </xf>
    <xf numFmtId="0" fontId="31" fillId="23" borderId="4" xfId="0" applyFont="1" applyFill="1" applyBorder="1" applyAlignment="1">
      <alignment horizontal="left" vertical="center"/>
    </xf>
    <xf numFmtId="13" fontId="8" fillId="0" borderId="4" xfId="1" applyNumberFormat="1" applyFont="1" applyBorder="1" applyAlignment="1">
      <alignment vertical="center"/>
    </xf>
    <xf numFmtId="0" fontId="31" fillId="9" borderId="4" xfId="0" applyFont="1" applyFill="1" applyBorder="1" applyAlignment="1">
      <alignment horizontal="center" vertical="center"/>
    </xf>
    <xf numFmtId="0" fontId="31" fillId="9" borderId="4" xfId="0" applyFont="1" applyFill="1" applyBorder="1" applyAlignment="1">
      <alignment horizontal="left" vertical="center" wrapText="1"/>
    </xf>
    <xf numFmtId="0" fontId="31" fillId="9" borderId="4" xfId="0" applyFont="1" applyFill="1" applyBorder="1" applyAlignment="1">
      <alignment horizontal="left" vertical="center"/>
    </xf>
    <xf numFmtId="165" fontId="31" fillId="9" borderId="4" xfId="1" applyFont="1" applyFill="1" applyBorder="1" applyAlignment="1">
      <alignment vertical="center"/>
    </xf>
    <xf numFmtId="0" fontId="31" fillId="23" borderId="4" xfId="0" applyFont="1" applyFill="1" applyBorder="1" applyAlignment="1">
      <alignment horizontal="center" vertical="center"/>
    </xf>
    <xf numFmtId="165" fontId="31" fillId="23" borderId="4" xfId="1" applyFont="1" applyFill="1" applyBorder="1" applyAlignment="1">
      <alignment vertical="center"/>
    </xf>
    <xf numFmtId="0" fontId="31" fillId="8" borderId="4" xfId="0" applyFont="1" applyFill="1" applyBorder="1" applyAlignment="1">
      <alignment horizontal="left" vertical="center"/>
    </xf>
    <xf numFmtId="0" fontId="9" fillId="0" borderId="4" xfId="0" applyFont="1" applyBorder="1" applyAlignment="1">
      <alignment horizontal="center" vertical="center"/>
    </xf>
    <xf numFmtId="165" fontId="9" fillId="0" borderId="4" xfId="1" applyFont="1" applyBorder="1" applyAlignment="1">
      <alignment vertical="center"/>
    </xf>
    <xf numFmtId="0" fontId="9" fillId="0" borderId="0" xfId="0" applyFont="1" applyAlignment="1">
      <alignment horizontal="left" vertical="center"/>
    </xf>
    <xf numFmtId="165" fontId="9" fillId="0" borderId="0" xfId="5" applyFont="1" applyFill="1" applyBorder="1" applyAlignment="1">
      <alignment horizontal="right" vertical="center"/>
    </xf>
    <xf numFmtId="0" fontId="9" fillId="0" borderId="0" xfId="0" applyFont="1" applyAlignment="1">
      <alignment horizontal="center" vertical="center"/>
    </xf>
    <xf numFmtId="0" fontId="9" fillId="5" borderId="4" xfId="0" applyFont="1" applyFill="1" applyBorder="1" applyAlignment="1">
      <alignment horizontal="left" vertical="center"/>
    </xf>
    <xf numFmtId="0" fontId="31" fillId="0" borderId="1" xfId="0" applyFont="1" applyBorder="1" applyAlignment="1">
      <alignment horizontal="center" vertical="center"/>
    </xf>
    <xf numFmtId="165" fontId="8" fillId="0" borderId="1" xfId="1" applyFont="1" applyBorder="1" applyAlignment="1">
      <alignment horizontal="center" vertical="center"/>
    </xf>
    <xf numFmtId="0" fontId="8" fillId="0" borderId="1" xfId="0" applyFont="1" applyBorder="1" applyAlignment="1">
      <alignment horizontal="center" vertical="center"/>
    </xf>
    <xf numFmtId="0" fontId="27" fillId="0" borderId="1" xfId="0" applyFont="1" applyBorder="1" applyAlignment="1">
      <alignment horizontal="center" vertical="center"/>
    </xf>
    <xf numFmtId="0" fontId="3" fillId="0" borderId="1" xfId="0" applyFont="1" applyBorder="1" applyAlignment="1">
      <alignment horizontal="center" vertical="center"/>
    </xf>
    <xf numFmtId="165" fontId="8" fillId="0" borderId="1" xfId="1" applyFont="1" applyFill="1" applyBorder="1" applyAlignment="1">
      <alignment horizontal="center" vertical="center"/>
    </xf>
    <xf numFmtId="165" fontId="30" fillId="0" borderId="1" xfId="1" applyFont="1" applyFill="1" applyBorder="1" applyAlignment="1">
      <alignment horizontal="center" vertical="center"/>
    </xf>
    <xf numFmtId="0" fontId="9" fillId="0" borderId="1" xfId="0" applyFont="1" applyBorder="1" applyAlignment="1">
      <alignment horizontal="center" vertical="center"/>
    </xf>
    <xf numFmtId="0" fontId="11" fillId="0" borderId="1" xfId="0" applyFont="1" applyBorder="1" applyAlignment="1">
      <alignment horizontal="center" vertical="center"/>
    </xf>
    <xf numFmtId="0" fontId="8" fillId="0" borderId="0" xfId="0" applyFont="1" applyAlignment="1">
      <alignment vertical="center"/>
    </xf>
    <xf numFmtId="0" fontId="27" fillId="12" borderId="1" xfId="8" applyFont="1" applyFill="1" applyBorder="1" applyAlignment="1">
      <alignment horizontal="center" vertical="center"/>
    </xf>
    <xf numFmtId="0" fontId="31" fillId="12" borderId="1" xfId="8" applyFont="1" applyFill="1" applyBorder="1" applyAlignment="1">
      <alignment horizontal="center" vertical="center"/>
    </xf>
    <xf numFmtId="0" fontId="31" fillId="6" borderId="3" xfId="0" applyFont="1" applyFill="1" applyBorder="1" applyAlignment="1">
      <alignment horizontal="left" vertical="center"/>
    </xf>
    <xf numFmtId="0" fontId="8" fillId="0" borderId="4" xfId="0" applyFont="1" applyBorder="1" applyAlignment="1">
      <alignment horizontal="left" vertical="center" wrapText="1"/>
    </xf>
    <xf numFmtId="0" fontId="31" fillId="9" borderId="0" xfId="0" applyFont="1" applyFill="1" applyAlignment="1">
      <alignment horizontal="left" vertical="center"/>
    </xf>
    <xf numFmtId="165" fontId="31" fillId="23" borderId="4" xfId="1" applyFont="1" applyFill="1" applyBorder="1" applyAlignment="1">
      <alignment horizontal="center" vertical="center"/>
    </xf>
    <xf numFmtId="0" fontId="31" fillId="23" borderId="4" xfId="0" applyFont="1" applyFill="1" applyBorder="1" applyAlignment="1">
      <alignment horizontal="right" vertical="center"/>
    </xf>
    <xf numFmtId="0" fontId="31" fillId="23" borderId="0" xfId="0" applyFont="1" applyFill="1" applyAlignment="1">
      <alignment horizontal="left" vertical="center"/>
    </xf>
    <xf numFmtId="0" fontId="8" fillId="0" borderId="4" xfId="0" applyFont="1" applyBorder="1" applyAlignment="1">
      <alignment vertical="center"/>
    </xf>
    <xf numFmtId="165" fontId="8" fillId="0" borderId="39" xfId="1" applyFont="1" applyFill="1" applyBorder="1" applyAlignment="1">
      <alignment vertical="center"/>
    </xf>
    <xf numFmtId="165" fontId="8" fillId="0" borderId="41" xfId="1" applyFont="1" applyFill="1" applyBorder="1" applyAlignment="1">
      <alignment horizontal="center" vertical="center"/>
    </xf>
    <xf numFmtId="165" fontId="8" fillId="0" borderId="42" xfId="1" applyFont="1" applyFill="1" applyBorder="1" applyAlignment="1">
      <alignment horizontal="center" vertical="center"/>
    </xf>
    <xf numFmtId="0" fontId="31" fillId="6" borderId="4" xfId="0" applyFont="1" applyFill="1" applyBorder="1" applyAlignment="1">
      <alignment horizontal="center" vertical="center"/>
    </xf>
    <xf numFmtId="0" fontId="31" fillId="6" borderId="4" xfId="0" applyFont="1" applyFill="1" applyBorder="1" applyAlignment="1">
      <alignment horizontal="left" vertical="center" wrapText="1"/>
    </xf>
    <xf numFmtId="165" fontId="31" fillId="6" borderId="4" xfId="1" applyFont="1" applyFill="1" applyBorder="1" applyAlignment="1">
      <alignment vertical="center"/>
    </xf>
    <xf numFmtId="0" fontId="11" fillId="17" borderId="39" xfId="0" applyFont="1" applyFill="1" applyBorder="1" applyAlignment="1">
      <alignment horizontal="right" vertical="center" wrapText="1"/>
    </xf>
    <xf numFmtId="0" fontId="27" fillId="21" borderId="3" xfId="0" applyFont="1" applyFill="1" applyBorder="1" applyAlignment="1">
      <alignment horizontal="right" vertical="center"/>
    </xf>
    <xf numFmtId="0" fontId="25" fillId="0" borderId="4" xfId="0" applyFont="1" applyBorder="1" applyAlignment="1">
      <alignment horizontal="right" vertical="center"/>
    </xf>
    <xf numFmtId="0" fontId="30" fillId="0" borderId="4" xfId="0" applyFont="1" applyBorder="1" applyAlignment="1">
      <alignment horizontal="right" vertical="center"/>
    </xf>
    <xf numFmtId="165" fontId="31" fillId="6" borderId="4" xfId="1" applyFont="1" applyFill="1" applyBorder="1" applyAlignment="1">
      <alignment horizontal="right" vertical="center"/>
    </xf>
    <xf numFmtId="165" fontId="8" fillId="0" borderId="4" xfId="1" applyFont="1" applyFill="1" applyBorder="1" applyAlignment="1">
      <alignment horizontal="right" vertical="center"/>
    </xf>
    <xf numFmtId="0" fontId="0" fillId="0" borderId="0" xfId="0" applyAlignment="1">
      <alignment horizontal="right"/>
    </xf>
    <xf numFmtId="2" fontId="25" fillId="0" borderId="4" xfId="0" applyNumberFormat="1" applyFont="1" applyBorder="1" applyAlignment="1">
      <alignment horizontal="right" vertical="center" indent="1"/>
    </xf>
    <xf numFmtId="165" fontId="8" fillId="0" borderId="4" xfId="1" applyFont="1" applyBorder="1" applyAlignment="1">
      <alignment horizontal="right" vertical="center"/>
    </xf>
    <xf numFmtId="13" fontId="8" fillId="0" borderId="4" xfId="1" applyNumberFormat="1" applyFont="1" applyBorder="1" applyAlignment="1">
      <alignment horizontal="right" vertical="center"/>
    </xf>
    <xf numFmtId="165" fontId="31" fillId="23" borderId="4" xfId="1" applyFont="1" applyFill="1" applyBorder="1" applyAlignment="1">
      <alignment horizontal="right" vertical="center"/>
    </xf>
    <xf numFmtId="165" fontId="9" fillId="0" borderId="4" xfId="1" applyFont="1" applyBorder="1" applyAlignment="1">
      <alignment horizontal="right" vertical="center"/>
    </xf>
    <xf numFmtId="165" fontId="9" fillId="0" borderId="4" xfId="1" applyFont="1" applyFill="1" applyBorder="1" applyAlignment="1">
      <alignment horizontal="right" vertical="center"/>
    </xf>
    <xf numFmtId="165" fontId="30" fillId="0" borderId="4" xfId="1" applyFont="1" applyFill="1" applyBorder="1" applyAlignment="1">
      <alignment horizontal="right" vertical="center"/>
    </xf>
    <xf numFmtId="165" fontId="31" fillId="9" borderId="4" xfId="1" applyFont="1" applyFill="1" applyBorder="1" applyAlignment="1">
      <alignment horizontal="right" vertical="center"/>
    </xf>
    <xf numFmtId="0" fontId="5" fillId="0" borderId="6" xfId="4" applyFont="1" applyBorder="1" applyAlignment="1">
      <alignment horizontal="left" vertical="center" wrapText="1"/>
    </xf>
    <xf numFmtId="0" fontId="8" fillId="0" borderId="6" xfId="0" applyFont="1" applyBorder="1" applyAlignment="1">
      <alignment horizontal="left" vertical="center"/>
    </xf>
    <xf numFmtId="0" fontId="0" fillId="0" borderId="8" xfId="0" applyBorder="1" applyAlignment="1">
      <alignment horizontal="center" vertical="center" wrapText="1"/>
    </xf>
    <xf numFmtId="165" fontId="30" fillId="0" borderId="4" xfId="1" applyFont="1" applyFill="1" applyBorder="1" applyAlignment="1">
      <alignment vertical="center"/>
    </xf>
    <xf numFmtId="165" fontId="6" fillId="0" borderId="4" xfId="0" applyNumberFormat="1" applyFont="1" applyBorder="1" applyAlignment="1">
      <alignment horizontal="center" vertical="center"/>
    </xf>
    <xf numFmtId="165" fontId="33" fillId="0" borderId="4" xfId="1" applyFont="1" applyFill="1" applyBorder="1" applyAlignment="1">
      <alignment vertical="center" wrapText="1"/>
    </xf>
    <xf numFmtId="43" fontId="6" fillId="3" borderId="1" xfId="3" applyFont="1" applyFill="1" applyBorder="1" applyAlignment="1">
      <alignment horizontal="center" vertical="center"/>
    </xf>
    <xf numFmtId="166" fontId="5" fillId="3" borderId="1" xfId="3" applyNumberFormat="1" applyFont="1" applyFill="1" applyBorder="1" applyAlignment="1">
      <alignment horizontal="center" vertical="center"/>
    </xf>
    <xf numFmtId="164" fontId="33" fillId="3" borderId="4" xfId="2" applyFont="1" applyFill="1" applyBorder="1" applyAlignment="1">
      <alignment horizontal="right" vertical="center"/>
    </xf>
    <xf numFmtId="164" fontId="34" fillId="3" borderId="4" xfId="2" applyFont="1" applyFill="1" applyBorder="1" applyAlignment="1">
      <alignment vertical="center"/>
    </xf>
    <xf numFmtId="164" fontId="33" fillId="3" borderId="4" xfId="2" applyFont="1" applyFill="1" applyBorder="1" applyAlignment="1">
      <alignment vertical="center"/>
    </xf>
    <xf numFmtId="0" fontId="6" fillId="5" borderId="6" xfId="4" applyFont="1" applyFill="1" applyBorder="1" applyAlignment="1">
      <alignment horizontal="left" vertical="center" wrapText="1"/>
    </xf>
    <xf numFmtId="0" fontId="25" fillId="0" borderId="41" xfId="0" applyFont="1" applyBorder="1" applyAlignment="1">
      <alignment horizontal="center" vertical="center"/>
    </xf>
    <xf numFmtId="0" fontId="25" fillId="0" borderId="42" xfId="0" applyFont="1" applyBorder="1" applyAlignment="1">
      <alignment horizontal="center" vertical="center"/>
    </xf>
    <xf numFmtId="43" fontId="4" fillId="2" borderId="10" xfId="3" applyFont="1" applyFill="1" applyBorder="1" applyAlignment="1">
      <alignment horizontal="left" vertical="center" wrapText="1"/>
    </xf>
    <xf numFmtId="165" fontId="33" fillId="0" borderId="4" xfId="1" applyFont="1" applyFill="1" applyBorder="1" applyAlignment="1">
      <alignment horizontal="center" vertical="center"/>
    </xf>
    <xf numFmtId="165" fontId="33" fillId="0" borderId="6" xfId="1" applyFont="1" applyFill="1" applyBorder="1" applyAlignment="1">
      <alignment horizontal="center" vertical="center"/>
    </xf>
    <xf numFmtId="0" fontId="3" fillId="0" borderId="21" xfId="0" applyFont="1" applyBorder="1"/>
    <xf numFmtId="165" fontId="9" fillId="0" borderId="41" xfId="1" applyFont="1" applyFill="1" applyBorder="1" applyAlignment="1">
      <alignment vertical="center"/>
    </xf>
    <xf numFmtId="165" fontId="9" fillId="0" borderId="42" xfId="1" applyFont="1" applyFill="1" applyBorder="1" applyAlignment="1">
      <alignment vertical="center"/>
    </xf>
    <xf numFmtId="165" fontId="0" fillId="3" borderId="45" xfId="1" applyFont="1" applyFill="1" applyBorder="1"/>
    <xf numFmtId="165" fontId="27" fillId="3" borderId="43" xfId="1" applyFont="1" applyFill="1" applyBorder="1" applyAlignment="1">
      <alignment horizontal="left" vertical="center"/>
    </xf>
    <xf numFmtId="165" fontId="27" fillId="3" borderId="44" xfId="1" applyFont="1" applyFill="1" applyBorder="1" applyAlignment="1">
      <alignment horizontal="left" vertical="center"/>
    </xf>
    <xf numFmtId="0" fontId="3" fillId="9" borderId="0" xfId="0" applyFont="1" applyFill="1" applyAlignment="1">
      <alignment horizontal="center"/>
    </xf>
    <xf numFmtId="0" fontId="5" fillId="0" borderId="6" xfId="0" applyFont="1" applyBorder="1" applyAlignment="1">
      <alignment horizontal="left" vertical="center"/>
    </xf>
    <xf numFmtId="164" fontId="32" fillId="3" borderId="4" xfId="2" applyFont="1" applyFill="1" applyBorder="1" applyAlignment="1">
      <alignment vertical="center"/>
    </xf>
    <xf numFmtId="0" fontId="35" fillId="0" borderId="4" xfId="0" applyFont="1" applyBorder="1" applyAlignment="1">
      <alignment horizontal="left" vertical="center"/>
    </xf>
    <xf numFmtId="0" fontId="12" fillId="0" borderId="4" xfId="0" applyFont="1" applyBorder="1" applyAlignment="1">
      <alignment horizontal="center" vertical="center"/>
    </xf>
    <xf numFmtId="165" fontId="12" fillId="0" borderId="4" xfId="1" applyFont="1" applyFill="1" applyBorder="1" applyAlignment="1">
      <alignment vertical="center"/>
    </xf>
    <xf numFmtId="165" fontId="12" fillId="0" borderId="4" xfId="1" applyFont="1" applyBorder="1" applyAlignment="1">
      <alignment vertical="center"/>
    </xf>
    <xf numFmtId="0" fontId="20" fillId="10" borderId="4" xfId="0" applyFont="1" applyFill="1" applyBorder="1" applyAlignment="1">
      <alignment horizontal="center" vertical="center"/>
    </xf>
    <xf numFmtId="165" fontId="20" fillId="10" borderId="4" xfId="1" applyFont="1" applyFill="1" applyBorder="1" applyAlignment="1">
      <alignment vertical="center"/>
    </xf>
    <xf numFmtId="0" fontId="20" fillId="10" borderId="4" xfId="0" applyFont="1" applyFill="1" applyBorder="1" applyAlignment="1">
      <alignment horizontal="left" vertical="center"/>
    </xf>
    <xf numFmtId="0" fontId="20" fillId="0" borderId="0" xfId="0" applyFont="1" applyAlignment="1">
      <alignment horizontal="center" vertical="center"/>
    </xf>
    <xf numFmtId="0" fontId="20" fillId="0" borderId="4" xfId="0" applyFont="1" applyBorder="1" applyAlignment="1">
      <alignment horizontal="center" vertical="center"/>
    </xf>
    <xf numFmtId="0" fontId="36" fillId="0" borderId="4" xfId="0" applyFont="1" applyBorder="1" applyAlignment="1">
      <alignment horizontal="left" vertical="center"/>
    </xf>
    <xf numFmtId="0" fontId="20" fillId="0" borderId="4" xfId="0" applyFont="1" applyBorder="1" applyAlignment="1">
      <alignment horizontal="left" vertical="center"/>
    </xf>
    <xf numFmtId="0" fontId="31" fillId="0" borderId="4" xfId="0" applyFont="1" applyBorder="1" applyAlignment="1">
      <alignment horizontal="right" vertical="center"/>
    </xf>
    <xf numFmtId="0" fontId="20" fillId="10" borderId="4" xfId="0" applyFont="1" applyFill="1" applyBorder="1" applyAlignment="1">
      <alignment horizontal="left" vertical="center" wrapText="1"/>
    </xf>
    <xf numFmtId="13" fontId="12" fillId="0" borderId="4" xfId="1" applyNumberFormat="1" applyFont="1" applyBorder="1" applyAlignment="1">
      <alignment vertical="center"/>
    </xf>
    <xf numFmtId="165" fontId="20" fillId="0" borderId="4" xfId="0" applyNumberFormat="1" applyFont="1" applyBorder="1" applyAlignment="1">
      <alignment horizontal="left" vertical="center"/>
    </xf>
    <xf numFmtId="165" fontId="31" fillId="0" borderId="4" xfId="0" applyNumberFormat="1" applyFont="1" applyBorder="1" applyAlignment="1">
      <alignment horizontal="right" vertical="center"/>
    </xf>
    <xf numFmtId="165" fontId="31" fillId="0" borderId="0" xfId="0" applyNumberFormat="1" applyFont="1" applyAlignment="1">
      <alignment horizontal="right" vertical="center"/>
    </xf>
    <xf numFmtId="165" fontId="20" fillId="0" borderId="4" xfId="1" applyFont="1" applyFill="1" applyBorder="1" applyAlignment="1">
      <alignment vertical="center"/>
    </xf>
    <xf numFmtId="165" fontId="20" fillId="0" borderId="4" xfId="1" applyFont="1" applyBorder="1" applyAlignment="1">
      <alignment vertical="center"/>
    </xf>
    <xf numFmtId="165" fontId="35" fillId="0" borderId="4" xfId="1" applyFont="1" applyBorder="1" applyAlignment="1">
      <alignment horizontal="left" vertical="center"/>
    </xf>
    <xf numFmtId="165" fontId="36" fillId="0" borderId="4" xfId="1" applyFont="1" applyBorder="1" applyAlignment="1">
      <alignment horizontal="left" vertical="center"/>
    </xf>
    <xf numFmtId="165" fontId="12" fillId="0" borderId="4" xfId="0" applyNumberFormat="1" applyFont="1" applyBorder="1" applyAlignment="1">
      <alignment horizontal="left" vertical="center"/>
    </xf>
    <xf numFmtId="0" fontId="12" fillId="0" borderId="4" xfId="0" applyFont="1" applyBorder="1" applyAlignment="1">
      <alignment horizontal="left" vertical="center"/>
    </xf>
    <xf numFmtId="0" fontId="12" fillId="0" borderId="0" xfId="0" applyFont="1" applyAlignment="1">
      <alignment horizontal="center" vertical="center"/>
    </xf>
    <xf numFmtId="165" fontId="20" fillId="0" borderId="0" xfId="0" applyNumberFormat="1" applyFont="1" applyAlignment="1">
      <alignment horizontal="left" vertical="center"/>
    </xf>
    <xf numFmtId="0" fontId="12" fillId="10" borderId="4" xfId="0" applyFont="1" applyFill="1" applyBorder="1" applyAlignment="1">
      <alignment horizontal="left" vertical="center"/>
    </xf>
    <xf numFmtId="165" fontId="36" fillId="0" borderId="0" xfId="1" applyFont="1" applyBorder="1" applyAlignment="1">
      <alignment horizontal="left" vertical="center"/>
    </xf>
    <xf numFmtId="165" fontId="12" fillId="0" borderId="0" xfId="0" applyNumberFormat="1" applyFont="1" applyAlignment="1">
      <alignment horizontal="left" vertical="center"/>
    </xf>
    <xf numFmtId="0" fontId="31" fillId="9" borderId="4" xfId="0" applyFont="1" applyFill="1" applyBorder="1" applyAlignment="1">
      <alignment horizontal="right" vertical="center"/>
    </xf>
    <xf numFmtId="0" fontId="8" fillId="0" borderId="4" xfId="0" applyFont="1" applyBorder="1" applyAlignment="1">
      <alignment horizontal="right" vertical="center"/>
    </xf>
    <xf numFmtId="0" fontId="34" fillId="0" borderId="0" xfId="0" applyFont="1" applyAlignment="1">
      <alignment horizontal="left" vertical="center"/>
    </xf>
    <xf numFmtId="43" fontId="34" fillId="0" borderId="0" xfId="3" applyFont="1" applyBorder="1" applyAlignment="1">
      <alignment horizontal="left" vertical="center"/>
    </xf>
    <xf numFmtId="0" fontId="6" fillId="0" borderId="39" xfId="0" applyFont="1" applyBorder="1" applyAlignment="1">
      <alignment horizontal="left" vertical="center" wrapText="1"/>
    </xf>
    <xf numFmtId="0" fontId="0" fillId="0" borderId="39" xfId="0" applyBorder="1" applyAlignment="1">
      <alignment horizontal="left" vertical="center"/>
    </xf>
    <xf numFmtId="43" fontId="6" fillId="0" borderId="39" xfId="3" applyFont="1" applyBorder="1" applyAlignment="1">
      <alignment horizontal="left" vertical="center"/>
    </xf>
    <xf numFmtId="166" fontId="6" fillId="0" borderId="39" xfId="3" applyNumberFormat="1" applyFont="1" applyBorder="1" applyAlignment="1">
      <alignment horizontal="left" vertical="center"/>
    </xf>
    <xf numFmtId="0" fontId="34" fillId="10" borderId="22" xfId="0" applyFont="1" applyFill="1" applyBorder="1" applyAlignment="1">
      <alignment horizontal="center" vertical="center"/>
    </xf>
    <xf numFmtId="0" fontId="34" fillId="10" borderId="23" xfId="0" applyFont="1" applyFill="1" applyBorder="1" applyAlignment="1">
      <alignment horizontal="left" vertical="center"/>
    </xf>
    <xf numFmtId="0" fontId="34" fillId="10" borderId="23" xfId="0" applyFont="1" applyFill="1" applyBorder="1" applyAlignment="1">
      <alignment horizontal="center" vertical="center"/>
    </xf>
    <xf numFmtId="43" fontId="34" fillId="10" borderId="23" xfId="3" applyFont="1" applyFill="1" applyBorder="1" applyAlignment="1">
      <alignment horizontal="left" vertical="center"/>
    </xf>
    <xf numFmtId="166" fontId="32" fillId="10" borderId="23" xfId="3" applyNumberFormat="1" applyFont="1" applyFill="1" applyBorder="1" applyAlignment="1">
      <alignment horizontal="left" vertical="center"/>
    </xf>
    <xf numFmtId="43" fontId="34" fillId="10" borderId="24" xfId="3" applyFont="1" applyFill="1" applyBorder="1" applyAlignment="1">
      <alignment horizontal="left" vertical="center"/>
    </xf>
    <xf numFmtId="43" fontId="6" fillId="5" borderId="2" xfId="3" applyFont="1" applyFill="1" applyBorder="1" applyAlignment="1">
      <alignment horizontal="left" vertical="center"/>
    </xf>
    <xf numFmtId="0" fontId="4" fillId="2" borderId="46" xfId="0" applyFont="1" applyFill="1" applyBorder="1" applyAlignment="1">
      <alignment horizontal="center" vertical="center" wrapText="1"/>
    </xf>
    <xf numFmtId="0" fontId="4" fillId="2" borderId="47" xfId="0" applyFont="1" applyFill="1" applyBorder="1" applyAlignment="1">
      <alignment horizontal="center" vertical="center" wrapText="1"/>
    </xf>
    <xf numFmtId="43" fontId="4" fillId="2" borderId="47" xfId="3" applyFont="1" applyFill="1" applyBorder="1" applyAlignment="1">
      <alignment horizontal="left" vertical="center" wrapText="1"/>
    </xf>
    <xf numFmtId="166" fontId="4" fillId="2" borderId="47" xfId="3" applyNumberFormat="1" applyFont="1" applyFill="1" applyBorder="1" applyAlignment="1">
      <alignment horizontal="left" vertical="center" wrapText="1"/>
    </xf>
    <xf numFmtId="43" fontId="4" fillId="2" borderId="48" xfId="3" applyFont="1" applyFill="1" applyBorder="1" applyAlignment="1">
      <alignment horizontal="left" vertical="center" wrapText="1"/>
    </xf>
    <xf numFmtId="0" fontId="5" fillId="3" borderId="49" xfId="0" applyFont="1" applyFill="1" applyBorder="1" applyAlignment="1">
      <alignment horizontal="center" vertical="center"/>
    </xf>
    <xf numFmtId="0" fontId="6" fillId="0" borderId="50" xfId="0" applyFont="1" applyBorder="1" applyAlignment="1">
      <alignment horizontal="left" vertical="center"/>
    </xf>
    <xf numFmtId="0" fontId="6" fillId="0" borderId="51" xfId="0" applyFont="1" applyBorder="1" applyAlignment="1">
      <alignment horizontal="center" vertical="center"/>
    </xf>
    <xf numFmtId="0" fontId="6" fillId="0" borderId="52" xfId="0" applyFont="1" applyBorder="1" applyAlignment="1">
      <alignment horizontal="left" vertical="center"/>
    </xf>
    <xf numFmtId="0" fontId="6" fillId="0" borderId="53" xfId="0" applyFont="1" applyBorder="1" applyAlignment="1">
      <alignment horizontal="center" vertical="center"/>
    </xf>
    <xf numFmtId="0" fontId="6" fillId="0" borderId="54" xfId="0" applyFont="1" applyBorder="1" applyAlignment="1">
      <alignment horizontal="left" vertical="center"/>
    </xf>
    <xf numFmtId="0" fontId="6" fillId="0" borderId="55" xfId="0" applyFont="1" applyBorder="1" applyAlignment="1">
      <alignment horizontal="center" vertical="center"/>
    </xf>
    <xf numFmtId="0" fontId="6" fillId="0" borderId="56" xfId="0" applyFont="1" applyBorder="1" applyAlignment="1">
      <alignment horizontal="left" vertical="center"/>
    </xf>
    <xf numFmtId="43" fontId="6" fillId="0" borderId="50" xfId="3" applyFont="1" applyBorder="1" applyAlignment="1">
      <alignment horizontal="left" vertical="center"/>
    </xf>
    <xf numFmtId="43" fontId="6" fillId="0" borderId="52" xfId="3" applyFont="1" applyBorder="1" applyAlignment="1">
      <alignment horizontal="left" vertical="center"/>
    </xf>
    <xf numFmtId="0" fontId="6" fillId="0" borderId="57" xfId="0" applyFont="1" applyBorder="1" applyAlignment="1">
      <alignment horizontal="center" vertical="center"/>
    </xf>
    <xf numFmtId="0" fontId="6" fillId="0" borderId="58" xfId="0" applyFont="1" applyBorder="1" applyAlignment="1">
      <alignment horizontal="left" vertical="center"/>
    </xf>
    <xf numFmtId="43" fontId="6" fillId="0" borderId="58" xfId="3" applyFont="1" applyBorder="1" applyAlignment="1">
      <alignment horizontal="left" vertical="center"/>
    </xf>
    <xf numFmtId="0" fontId="8" fillId="0" borderId="57" xfId="5" applyNumberFormat="1" applyFont="1" applyBorder="1" applyAlignment="1">
      <alignment horizontal="right"/>
    </xf>
    <xf numFmtId="43" fontId="9" fillId="0" borderId="58" xfId="3" applyFont="1" applyBorder="1"/>
    <xf numFmtId="43" fontId="6" fillId="0" borderId="56" xfId="3" applyFont="1" applyBorder="1" applyAlignment="1">
      <alignment horizontal="left" vertical="center"/>
    </xf>
    <xf numFmtId="0" fontId="6" fillId="5" borderId="57" xfId="0" applyFont="1" applyFill="1" applyBorder="1" applyAlignment="1">
      <alignment horizontal="center" vertical="center"/>
    </xf>
    <xf numFmtId="0" fontId="18" fillId="0" borderId="59" xfId="7" applyBorder="1"/>
    <xf numFmtId="0" fontId="5" fillId="0" borderId="57" xfId="0" applyFont="1" applyBorder="1" applyAlignment="1">
      <alignment horizontal="center" vertical="center"/>
    </xf>
    <xf numFmtId="43" fontId="6" fillId="0" borderId="58" xfId="3" applyFont="1" applyFill="1" applyBorder="1" applyAlignment="1">
      <alignment horizontal="left" vertical="center"/>
    </xf>
    <xf numFmtId="0" fontId="5" fillId="0" borderId="51" xfId="0" applyFont="1" applyBorder="1" applyAlignment="1">
      <alignment horizontal="center" vertical="center"/>
    </xf>
    <xf numFmtId="164" fontId="6" fillId="0" borderId="52" xfId="2" applyFont="1" applyBorder="1" applyAlignment="1">
      <alignment vertical="center"/>
    </xf>
    <xf numFmtId="164" fontId="6" fillId="0" borderId="58" xfId="2" applyFont="1" applyBorder="1" applyAlignment="1">
      <alignment vertical="center"/>
    </xf>
    <xf numFmtId="164" fontId="6" fillId="6" borderId="50" xfId="2" applyFont="1" applyFill="1" applyBorder="1" applyAlignment="1">
      <alignment vertical="center"/>
    </xf>
    <xf numFmtId="0" fontId="0" fillId="0" borderId="55" xfId="0" applyBorder="1" applyAlignment="1">
      <alignment horizontal="center" vertical="center"/>
    </xf>
    <xf numFmtId="43" fontId="0" fillId="0" borderId="56" xfId="3" applyFont="1" applyBorder="1" applyAlignment="1">
      <alignment horizontal="left" vertical="center"/>
    </xf>
    <xf numFmtId="43" fontId="0" fillId="0" borderId="50" xfId="3" applyFont="1" applyBorder="1" applyAlignment="1">
      <alignment horizontal="left" vertical="center"/>
    </xf>
    <xf numFmtId="43" fontId="0" fillId="0" borderId="52" xfId="3" applyFont="1" applyBorder="1" applyAlignment="1">
      <alignment horizontal="left" vertical="center"/>
    </xf>
    <xf numFmtId="43" fontId="0" fillId="0" borderId="58" xfId="3" applyFont="1" applyBorder="1" applyAlignment="1">
      <alignment horizontal="left" vertical="center"/>
    </xf>
    <xf numFmtId="0" fontId="3" fillId="0" borderId="57" xfId="0" applyFont="1" applyBorder="1" applyAlignment="1">
      <alignment horizontal="center" vertical="center"/>
    </xf>
    <xf numFmtId="43" fontId="0" fillId="0" borderId="52" xfId="3" applyFont="1" applyFill="1" applyBorder="1" applyAlignment="1">
      <alignment horizontal="left" vertical="center"/>
    </xf>
    <xf numFmtId="0" fontId="6" fillId="3" borderId="49" xfId="0" applyFont="1" applyFill="1" applyBorder="1" applyAlignment="1">
      <alignment horizontal="center" vertical="center"/>
    </xf>
    <xf numFmtId="0" fontId="6" fillId="0" borderId="60" xfId="0" applyFont="1" applyBorder="1" applyAlignment="1">
      <alignment horizontal="center" vertical="center"/>
    </xf>
    <xf numFmtId="43" fontId="0" fillId="0" borderId="61" xfId="3" applyFont="1" applyBorder="1" applyAlignment="1">
      <alignment horizontal="left" vertical="center"/>
    </xf>
    <xf numFmtId="165" fontId="0" fillId="0" borderId="4" xfId="1" applyFont="1" applyBorder="1" applyAlignment="1">
      <alignment horizontal="center" vertical="center"/>
    </xf>
    <xf numFmtId="165" fontId="0" fillId="0" borderId="4" xfId="1" applyFont="1" applyFill="1" applyBorder="1" applyAlignment="1">
      <alignment vertical="center"/>
    </xf>
    <xf numFmtId="165" fontId="0" fillId="0" borderId="0" xfId="1" applyFont="1" applyAlignment="1">
      <alignment horizontal="center" vertical="center"/>
    </xf>
    <xf numFmtId="165" fontId="0" fillId="0" borderId="41" xfId="1" applyFont="1" applyBorder="1" applyAlignment="1">
      <alignment horizontal="center" vertical="center"/>
    </xf>
    <xf numFmtId="165" fontId="0" fillId="0" borderId="42" xfId="1" applyFont="1" applyBorder="1" applyAlignment="1">
      <alignment horizontal="center" vertical="center"/>
    </xf>
    <xf numFmtId="165" fontId="3" fillId="0" borderId="4" xfId="0" applyNumberFormat="1" applyFont="1" applyBorder="1" applyAlignment="1">
      <alignment horizontal="center" vertical="center"/>
    </xf>
    <xf numFmtId="0" fontId="0" fillId="0" borderId="4" xfId="0" applyBorder="1" applyAlignment="1">
      <alignment horizontal="left" vertical="center"/>
    </xf>
    <xf numFmtId="165" fontId="1" fillId="0" borderId="4" xfId="1" applyFont="1" applyFill="1"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18" xfId="0" applyBorder="1" applyAlignment="1">
      <alignment horizontal="center" vertical="center"/>
    </xf>
    <xf numFmtId="0" fontId="3" fillId="7" borderId="4" xfId="0" applyFont="1" applyFill="1" applyBorder="1" applyAlignment="1">
      <alignment horizontal="center" vertical="center"/>
    </xf>
    <xf numFmtId="165" fontId="3" fillId="7" borderId="4" xfId="1" applyFont="1" applyFill="1" applyBorder="1" applyAlignment="1">
      <alignment horizontal="center" vertical="center"/>
    </xf>
    <xf numFmtId="165" fontId="1" fillId="0" borderId="4" xfId="1" applyFont="1" applyBorder="1" applyAlignment="1">
      <alignment horizontal="center" vertical="center"/>
    </xf>
    <xf numFmtId="0" fontId="3" fillId="7" borderId="4" xfId="0" applyFont="1" applyFill="1" applyBorder="1" applyAlignment="1">
      <alignment horizontal="center" vertical="center" wrapText="1"/>
    </xf>
    <xf numFmtId="165" fontId="1" fillId="7" borderId="4" xfId="1" applyFont="1" applyFill="1" applyBorder="1" applyAlignment="1">
      <alignment horizontal="center" vertical="center"/>
    </xf>
    <xf numFmtId="165" fontId="0" fillId="0" borderId="4" xfId="1" applyFont="1" applyBorder="1" applyAlignment="1">
      <alignment horizontal="center"/>
    </xf>
    <xf numFmtId="165" fontId="0" fillId="0" borderId="8" xfId="1" applyFont="1" applyFill="1" applyBorder="1" applyAlignment="1">
      <alignment horizontal="center"/>
    </xf>
    <xf numFmtId="0" fontId="0" fillId="0" borderId="4" xfId="0" applyBorder="1" applyAlignment="1">
      <alignment horizontal="center" vertical="center" wrapText="1"/>
    </xf>
    <xf numFmtId="165" fontId="0" fillId="0" borderId="4" xfId="1" applyFont="1" applyBorder="1" applyAlignment="1">
      <alignment horizontal="center" vertical="center" wrapText="1"/>
    </xf>
    <xf numFmtId="165" fontId="3" fillId="0" borderId="4" xfId="1" applyFont="1" applyBorder="1" applyAlignment="1">
      <alignment horizontal="center" vertical="center" wrapText="1"/>
    </xf>
    <xf numFmtId="165" fontId="0" fillId="0" borderId="4" xfId="1" applyFont="1" applyFill="1" applyBorder="1" applyAlignment="1">
      <alignment horizontal="center" vertical="center"/>
    </xf>
    <xf numFmtId="0" fontId="3" fillId="0" borderId="4" xfId="0" applyFont="1" applyBorder="1" applyAlignment="1">
      <alignment horizontal="center" vertical="center" wrapText="1"/>
    </xf>
    <xf numFmtId="0" fontId="6" fillId="8" borderId="4" xfId="0" applyFont="1" applyFill="1" applyBorder="1" applyAlignment="1">
      <alignment horizontal="left" vertical="center"/>
    </xf>
    <xf numFmtId="0" fontId="0" fillId="8" borderId="4" xfId="0" applyFill="1" applyBorder="1" applyAlignment="1">
      <alignment horizontal="left" vertical="center"/>
    </xf>
    <xf numFmtId="164" fontId="33" fillId="10" borderId="4" xfId="2" applyFont="1" applyFill="1" applyBorder="1" applyAlignment="1">
      <alignment vertical="center"/>
    </xf>
    <xf numFmtId="164" fontId="33" fillId="10" borderId="4" xfId="2" applyFont="1" applyFill="1" applyBorder="1" applyAlignment="1">
      <alignment horizontal="right" vertical="center"/>
    </xf>
    <xf numFmtId="164" fontId="34" fillId="10" borderId="4" xfId="2" applyFont="1" applyFill="1" applyBorder="1" applyAlignment="1">
      <alignment vertical="center"/>
    </xf>
    <xf numFmtId="43" fontId="6" fillId="10" borderId="6" xfId="3" applyFont="1" applyFill="1" applyBorder="1" applyAlignment="1">
      <alignment horizontal="left" vertical="center"/>
    </xf>
    <xf numFmtId="0" fontId="6" fillId="10" borderId="6" xfId="0" applyFont="1" applyFill="1" applyBorder="1" applyAlignment="1">
      <alignment horizontal="left" vertical="center"/>
    </xf>
    <xf numFmtId="43" fontId="6" fillId="10" borderId="5" xfId="3" applyFont="1" applyFill="1" applyBorder="1" applyAlignment="1">
      <alignment horizontal="left" vertical="center"/>
    </xf>
    <xf numFmtId="0" fontId="6" fillId="10" borderId="5" xfId="0" applyFont="1" applyFill="1" applyBorder="1" applyAlignment="1">
      <alignment horizontal="left" vertical="center"/>
    </xf>
    <xf numFmtId="43" fontId="6" fillId="10" borderId="4" xfId="3" applyFont="1" applyFill="1" applyBorder="1" applyAlignment="1">
      <alignment horizontal="left" vertical="center"/>
    </xf>
    <xf numFmtId="43" fontId="0" fillId="10" borderId="4" xfId="3" applyFont="1" applyFill="1" applyBorder="1" applyAlignment="1">
      <alignment horizontal="left" vertical="center"/>
    </xf>
    <xf numFmtId="0" fontId="5" fillId="6" borderId="1" xfId="0" applyFont="1" applyFill="1" applyBorder="1" applyAlignment="1">
      <alignment horizontal="center" vertical="center"/>
    </xf>
    <xf numFmtId="0" fontId="5" fillId="6" borderId="1" xfId="0" applyFont="1" applyFill="1" applyBorder="1" applyAlignment="1">
      <alignment horizontal="left" vertical="center"/>
    </xf>
    <xf numFmtId="43" fontId="5" fillId="6" borderId="1" xfId="3" applyFont="1" applyFill="1" applyBorder="1" applyAlignment="1">
      <alignment horizontal="left" vertical="center"/>
    </xf>
    <xf numFmtId="43" fontId="6" fillId="6" borderId="1" xfId="3" applyFont="1" applyFill="1" applyBorder="1" applyAlignment="1">
      <alignment horizontal="left" vertical="center"/>
    </xf>
    <xf numFmtId="164" fontId="33" fillId="6" borderId="4" xfId="2" applyFont="1" applyFill="1" applyBorder="1" applyAlignment="1">
      <alignment vertical="center"/>
    </xf>
    <xf numFmtId="164" fontId="33" fillId="6" borderId="4" xfId="2" applyFont="1" applyFill="1" applyBorder="1" applyAlignment="1">
      <alignment horizontal="right" vertical="center"/>
    </xf>
    <xf numFmtId="164" fontId="34" fillId="6" borderId="4" xfId="2" applyFont="1" applyFill="1" applyBorder="1" applyAlignment="1">
      <alignment vertical="center"/>
    </xf>
    <xf numFmtId="0" fontId="5" fillId="0" borderId="0" xfId="0" applyFont="1" applyAlignment="1">
      <alignment horizontal="left" vertical="center"/>
    </xf>
    <xf numFmtId="0" fontId="8" fillId="24" borderId="4" xfId="0" applyFont="1" applyFill="1" applyBorder="1" applyAlignment="1">
      <alignment horizontal="left" vertical="center"/>
    </xf>
    <xf numFmtId="43" fontId="6" fillId="24" borderId="6" xfId="3" applyFont="1" applyFill="1" applyBorder="1" applyAlignment="1">
      <alignment horizontal="left" vertical="center"/>
    </xf>
    <xf numFmtId="164" fontId="33" fillId="24" borderId="4" xfId="2" applyFont="1" applyFill="1" applyBorder="1" applyAlignment="1">
      <alignment vertical="center"/>
    </xf>
    <xf numFmtId="164" fontId="33" fillId="24" borderId="4" xfId="2" applyFont="1" applyFill="1" applyBorder="1" applyAlignment="1">
      <alignment horizontal="right" vertical="center"/>
    </xf>
    <xf numFmtId="164" fontId="34" fillId="24" borderId="4" xfId="2" applyFont="1" applyFill="1" applyBorder="1" applyAlignment="1">
      <alignment vertical="center"/>
    </xf>
    <xf numFmtId="164" fontId="32" fillId="24" borderId="4" xfId="2" applyFont="1" applyFill="1" applyBorder="1" applyAlignment="1">
      <alignment vertical="center"/>
    </xf>
    <xf numFmtId="43" fontId="0" fillId="24" borderId="0" xfId="3" applyFont="1" applyFill="1" applyBorder="1" applyAlignment="1">
      <alignment horizontal="left" vertical="center"/>
    </xf>
    <xf numFmtId="43" fontId="0" fillId="24" borderId="0" xfId="3" applyFont="1" applyFill="1" applyAlignment="1">
      <alignment horizontal="left" vertical="center"/>
    </xf>
    <xf numFmtId="0" fontId="25" fillId="0" borderId="7" xfId="0" applyFont="1" applyBorder="1" applyAlignment="1">
      <alignment horizontal="center" vertical="center"/>
    </xf>
    <xf numFmtId="0" fontId="25" fillId="0" borderId="8" xfId="0" applyFont="1" applyBorder="1" applyAlignment="1">
      <alignment horizontal="center" vertical="center"/>
    </xf>
    <xf numFmtId="0" fontId="25" fillId="0" borderId="9" xfId="0" applyFont="1" applyBorder="1" applyAlignment="1">
      <alignment horizontal="center" vertical="center"/>
    </xf>
    <xf numFmtId="0" fontId="27" fillId="0" borderId="26" xfId="0" applyFont="1" applyBorder="1" applyAlignment="1">
      <alignment horizontal="center" vertical="center"/>
    </xf>
    <xf numFmtId="0" fontId="9" fillId="15" borderId="7" xfId="0" applyFont="1" applyFill="1" applyBorder="1" applyAlignment="1">
      <alignment horizontal="center" vertical="center"/>
    </xf>
    <xf numFmtId="0" fontId="9" fillId="15" borderId="8" xfId="0" applyFont="1" applyFill="1" applyBorder="1" applyAlignment="1">
      <alignment horizontal="center" vertical="center"/>
    </xf>
    <xf numFmtId="0" fontId="9" fillId="15" borderId="9" xfId="0" applyFont="1" applyFill="1" applyBorder="1" applyAlignment="1">
      <alignment horizontal="center" vertical="center"/>
    </xf>
    <xf numFmtId="0" fontId="25" fillId="0" borderId="12" xfId="0" applyFont="1" applyBorder="1" applyAlignment="1">
      <alignment horizontal="center" vertical="center"/>
    </xf>
    <xf numFmtId="0" fontId="27" fillId="0" borderId="21" xfId="0" applyFont="1" applyBorder="1" applyAlignment="1">
      <alignment horizontal="center" vertical="center"/>
    </xf>
    <xf numFmtId="0" fontId="25" fillId="16" borderId="7" xfId="0" applyFont="1" applyFill="1" applyBorder="1" applyAlignment="1">
      <alignment horizontal="center" vertical="center"/>
    </xf>
    <xf numFmtId="0" fontId="25" fillId="16" borderId="8" xfId="0" applyFont="1" applyFill="1" applyBorder="1" applyAlignment="1">
      <alignment horizontal="center" vertical="center"/>
    </xf>
    <xf numFmtId="0" fontId="25" fillId="16" borderId="9" xfId="0" applyFont="1" applyFill="1" applyBorder="1" applyAlignment="1">
      <alignment horizontal="center" vertical="center"/>
    </xf>
    <xf numFmtId="0" fontId="27" fillId="0" borderId="36" xfId="0" applyFont="1" applyBorder="1" applyAlignment="1">
      <alignment horizontal="center" vertical="center"/>
    </xf>
    <xf numFmtId="0" fontId="26" fillId="13" borderId="11" xfId="0" applyFont="1" applyFill="1" applyBorder="1" applyAlignment="1">
      <alignment horizontal="center" vertical="center"/>
    </xf>
    <xf numFmtId="0" fontId="26" fillId="13" borderId="21" xfId="0" applyFont="1" applyFill="1" applyBorder="1" applyAlignment="1">
      <alignment horizontal="center" vertical="center"/>
    </xf>
    <xf numFmtId="0" fontId="26" fillId="13" borderId="17" xfId="0" applyFont="1" applyFill="1" applyBorder="1" applyAlignment="1">
      <alignment horizontal="center" vertical="center"/>
    </xf>
    <xf numFmtId="0" fontId="26" fillId="13" borderId="12" xfId="0" applyFont="1" applyFill="1" applyBorder="1" applyAlignment="1">
      <alignment horizontal="center" vertical="center"/>
    </xf>
    <xf numFmtId="0" fontId="26" fillId="13" borderId="0" xfId="0" applyFont="1" applyFill="1" applyAlignment="1">
      <alignment horizontal="center" vertical="center"/>
    </xf>
    <xf numFmtId="0" fontId="26" fillId="13" borderId="18" xfId="0" applyFont="1" applyFill="1" applyBorder="1" applyAlignment="1">
      <alignment horizontal="center" vertical="center"/>
    </xf>
    <xf numFmtId="0" fontId="26" fillId="13" borderId="7" xfId="0" applyFont="1" applyFill="1" applyBorder="1" applyAlignment="1">
      <alignment horizontal="center" vertical="center" wrapText="1"/>
    </xf>
    <xf numFmtId="0" fontId="26" fillId="13" borderId="8" xfId="0" applyFont="1" applyFill="1" applyBorder="1" applyAlignment="1">
      <alignment horizontal="center" vertical="center" wrapText="1"/>
    </xf>
    <xf numFmtId="0" fontId="26" fillId="13" borderId="9" xfId="0" applyFont="1" applyFill="1" applyBorder="1" applyAlignment="1">
      <alignment horizontal="center" vertical="center" wrapText="1"/>
    </xf>
    <xf numFmtId="0" fontId="26" fillId="13" borderId="7" xfId="0" applyFont="1" applyFill="1" applyBorder="1" applyAlignment="1">
      <alignment horizontal="center" vertical="center"/>
    </xf>
    <xf numFmtId="0" fontId="26" fillId="13" borderId="8" xfId="0" applyFont="1" applyFill="1" applyBorder="1" applyAlignment="1">
      <alignment horizontal="center" vertical="center"/>
    </xf>
    <xf numFmtId="0" fontId="26" fillId="13" borderId="9" xfId="0" applyFont="1" applyFill="1" applyBorder="1" applyAlignment="1">
      <alignment horizontal="center" vertical="center"/>
    </xf>
    <xf numFmtId="0" fontId="26" fillId="13" borderId="31" xfId="0" applyFont="1" applyFill="1" applyBorder="1" applyAlignment="1">
      <alignment horizontal="center" vertical="center" wrapText="1"/>
    </xf>
    <xf numFmtId="0" fontId="26" fillId="13" borderId="29" xfId="0" applyFont="1" applyFill="1" applyBorder="1" applyAlignment="1">
      <alignment horizontal="center" vertical="center" wrapText="1"/>
    </xf>
    <xf numFmtId="0" fontId="26" fillId="13" borderId="32" xfId="0" applyFont="1" applyFill="1" applyBorder="1" applyAlignment="1">
      <alignment horizontal="center" vertical="center" wrapText="1"/>
    </xf>
    <xf numFmtId="0" fontId="26" fillId="13" borderId="14" xfId="0" applyFont="1" applyFill="1" applyBorder="1" applyAlignment="1">
      <alignment horizontal="center" vertical="center" wrapText="1"/>
    </xf>
    <xf numFmtId="0" fontId="26" fillId="13" borderId="15" xfId="0" applyFont="1" applyFill="1" applyBorder="1" applyAlignment="1">
      <alignment horizontal="center" vertical="center" wrapText="1"/>
    </xf>
    <xf numFmtId="0" fontId="26" fillId="13" borderId="16" xfId="0" applyFont="1" applyFill="1" applyBorder="1" applyAlignment="1">
      <alignment horizontal="center" vertical="center" wrapText="1"/>
    </xf>
    <xf numFmtId="0" fontId="25" fillId="0" borderId="0" xfId="0" applyFont="1"/>
    <xf numFmtId="0" fontId="25" fillId="0" borderId="30" xfId="0" applyFont="1" applyBorder="1"/>
    <xf numFmtId="2" fontId="32" fillId="0" borderId="21" xfId="0" applyNumberFormat="1" applyFont="1" applyBorder="1" applyAlignment="1">
      <alignment horizontal="center"/>
    </xf>
    <xf numFmtId="0" fontId="26" fillId="13" borderId="10" xfId="0" applyFont="1" applyFill="1" applyBorder="1" applyAlignment="1">
      <alignment horizontal="center" vertical="center"/>
    </xf>
    <xf numFmtId="0" fontId="26" fillId="13" borderId="20" xfId="0" applyFont="1" applyFill="1" applyBorder="1" applyAlignment="1">
      <alignment horizontal="center" vertical="center"/>
    </xf>
    <xf numFmtId="0" fontId="26" fillId="13" borderId="2" xfId="0" applyFont="1" applyFill="1" applyBorder="1" applyAlignment="1">
      <alignment horizontal="center" vertical="center"/>
    </xf>
    <xf numFmtId="0" fontId="26" fillId="13" borderId="33" xfId="0" applyFont="1" applyFill="1" applyBorder="1" applyAlignment="1">
      <alignment horizontal="center" vertical="center" wrapText="1"/>
    </xf>
    <xf numFmtId="0" fontId="26" fillId="13" borderId="34" xfId="0" applyFont="1" applyFill="1" applyBorder="1" applyAlignment="1">
      <alignment horizontal="center" vertical="center" wrapText="1"/>
    </xf>
    <xf numFmtId="0" fontId="26" fillId="13" borderId="35" xfId="0" applyFont="1" applyFill="1" applyBorder="1" applyAlignment="1">
      <alignment horizontal="center" vertical="center" wrapText="1"/>
    </xf>
    <xf numFmtId="0" fontId="25" fillId="20" borderId="7" xfId="0" applyFont="1" applyFill="1" applyBorder="1" applyAlignment="1">
      <alignment horizontal="center" vertical="center" wrapText="1"/>
    </xf>
    <xf numFmtId="0" fontId="25" fillId="20" borderId="8" xfId="0" applyFont="1" applyFill="1" applyBorder="1" applyAlignment="1">
      <alignment horizontal="center" vertical="center" wrapText="1"/>
    </xf>
    <xf numFmtId="0" fontId="25" fillId="20" borderId="9" xfId="0" applyFont="1" applyFill="1" applyBorder="1" applyAlignment="1">
      <alignment horizontal="center" vertical="center" wrapText="1"/>
    </xf>
    <xf numFmtId="0" fontId="25" fillId="19" borderId="7" xfId="0" applyFont="1" applyFill="1" applyBorder="1" applyAlignment="1">
      <alignment horizontal="center" vertical="center" wrapText="1"/>
    </xf>
    <xf numFmtId="0" fontId="25" fillId="19" borderId="8" xfId="0" applyFont="1" applyFill="1" applyBorder="1" applyAlignment="1">
      <alignment horizontal="center" vertical="center" wrapText="1"/>
    </xf>
    <xf numFmtId="0" fontId="25" fillId="19" borderId="9" xfId="0" applyFont="1" applyFill="1" applyBorder="1" applyAlignment="1">
      <alignment horizontal="center" vertical="center" wrapText="1"/>
    </xf>
    <xf numFmtId="0" fontId="25" fillId="16" borderId="7" xfId="0" applyFont="1" applyFill="1" applyBorder="1" applyAlignment="1">
      <alignment horizontal="center" vertical="center" wrapText="1"/>
    </xf>
    <xf numFmtId="0" fontId="25" fillId="16" borderId="8" xfId="0" applyFont="1" applyFill="1" applyBorder="1" applyAlignment="1">
      <alignment horizontal="center" vertical="center" wrapText="1"/>
    </xf>
    <xf numFmtId="0" fontId="25" fillId="16" borderId="9" xfId="0" applyFont="1" applyFill="1" applyBorder="1" applyAlignment="1">
      <alignment horizontal="center" vertical="center" wrapText="1"/>
    </xf>
    <xf numFmtId="43" fontId="4" fillId="2" borderId="10" xfId="3" applyFont="1" applyFill="1" applyBorder="1" applyAlignment="1">
      <alignment horizontal="center" vertical="center" wrapText="1"/>
    </xf>
    <xf numFmtId="43" fontId="4" fillId="2" borderId="2" xfId="3" applyFont="1" applyFill="1" applyBorder="1" applyAlignment="1">
      <alignment horizontal="center" vertical="center" wrapText="1"/>
    </xf>
    <xf numFmtId="0" fontId="11" fillId="17" borderId="7" xfId="0" applyFont="1" applyFill="1" applyBorder="1" applyAlignment="1">
      <alignment horizontal="left" vertical="center"/>
    </xf>
    <xf numFmtId="0" fontId="11" fillId="17" borderId="9" xfId="0" applyFont="1" applyFill="1" applyBorder="1" applyAlignment="1">
      <alignment horizontal="left" vertical="center"/>
    </xf>
    <xf numFmtId="0" fontId="11" fillId="17" borderId="7" xfId="0" applyFont="1" applyFill="1" applyBorder="1" applyAlignment="1">
      <alignment horizontal="center" vertical="center"/>
    </xf>
    <xf numFmtId="0" fontId="11" fillId="17" borderId="9" xfId="0" applyFont="1" applyFill="1" applyBorder="1" applyAlignment="1">
      <alignment horizontal="center" vertical="center"/>
    </xf>
    <xf numFmtId="165" fontId="8" fillId="0" borderId="41" xfId="1" applyFont="1" applyFill="1" applyBorder="1" applyAlignment="1">
      <alignment horizontal="center" vertical="center"/>
    </xf>
    <xf numFmtId="165" fontId="8" fillId="0" borderId="42" xfId="1" applyFont="1" applyFill="1" applyBorder="1" applyAlignment="1">
      <alignment horizontal="center" vertical="center"/>
    </xf>
    <xf numFmtId="165" fontId="8" fillId="0" borderId="41" xfId="1" applyFont="1" applyBorder="1" applyAlignment="1">
      <alignment horizontal="center" vertical="center"/>
    </xf>
    <xf numFmtId="165" fontId="8" fillId="0" borderId="42" xfId="1" applyFont="1" applyBorder="1" applyAlignment="1">
      <alignment horizontal="center" vertical="center"/>
    </xf>
    <xf numFmtId="0" fontId="11" fillId="17" borderId="7" xfId="0" applyFont="1" applyFill="1" applyBorder="1" applyAlignment="1">
      <alignment horizontal="center" vertical="center" wrapText="1"/>
    </xf>
    <xf numFmtId="0" fontId="11" fillId="17" borderId="9" xfId="0" applyFont="1" applyFill="1" applyBorder="1" applyAlignment="1">
      <alignment horizontal="center" vertical="center" wrapText="1"/>
    </xf>
    <xf numFmtId="0" fontId="11" fillId="17" borderId="37" xfId="0" applyFont="1" applyFill="1" applyBorder="1" applyAlignment="1">
      <alignment horizontal="center" vertical="center"/>
    </xf>
    <xf numFmtId="0" fontId="11" fillId="17" borderId="38" xfId="0" applyFont="1" applyFill="1" applyBorder="1" applyAlignment="1">
      <alignment horizontal="center" vertical="center"/>
    </xf>
    <xf numFmtId="0" fontId="11" fillId="17" borderId="40" xfId="0" applyFont="1" applyFill="1" applyBorder="1" applyAlignment="1">
      <alignment horizontal="center" vertical="center"/>
    </xf>
    <xf numFmtId="0" fontId="25" fillId="0" borderId="41" xfId="0" applyFont="1" applyBorder="1" applyAlignment="1">
      <alignment horizontal="center" vertical="center"/>
    </xf>
    <xf numFmtId="0" fontId="25" fillId="0" borderId="42" xfId="0" applyFont="1" applyBorder="1" applyAlignment="1">
      <alignment horizontal="center" vertical="center"/>
    </xf>
    <xf numFmtId="165" fontId="12" fillId="0" borderId="41" xfId="1" applyFont="1" applyBorder="1" applyAlignment="1">
      <alignment horizontal="center" vertical="center"/>
    </xf>
    <xf numFmtId="165" fontId="12" fillId="0" borderId="42" xfId="1" applyFont="1" applyBorder="1" applyAlignment="1">
      <alignment horizontal="center" vertical="center"/>
    </xf>
    <xf numFmtId="165" fontId="9" fillId="0" borderId="41" xfId="1" applyFont="1" applyFill="1" applyBorder="1" applyAlignment="1">
      <alignment horizontal="center" vertical="center"/>
    </xf>
    <xf numFmtId="165" fontId="9" fillId="0" borderId="42" xfId="1" applyFont="1" applyFill="1" applyBorder="1" applyAlignment="1">
      <alignment horizontal="center" vertical="center"/>
    </xf>
    <xf numFmtId="0" fontId="3" fillId="12" borderId="1" xfId="0" applyFont="1" applyFill="1" applyBorder="1" applyAlignment="1">
      <alignment horizontal="center"/>
    </xf>
    <xf numFmtId="0" fontId="0" fillId="0" borderId="21" xfId="0" applyBorder="1" applyAlignment="1">
      <alignment horizontal="center"/>
    </xf>
    <xf numFmtId="0" fontId="15" fillId="8" borderId="1" xfId="0" applyFont="1" applyFill="1" applyBorder="1" applyAlignment="1">
      <alignment horizontal="center"/>
    </xf>
    <xf numFmtId="0" fontId="3" fillId="0" borderId="1" xfId="0" applyFont="1" applyBorder="1" applyAlignment="1">
      <alignment horizontal="center"/>
    </xf>
    <xf numFmtId="165" fontId="13" fillId="0" borderId="1" xfId="6" applyFont="1" applyBorder="1" applyAlignment="1">
      <alignment horizontal="left" vertical="center" wrapText="1"/>
    </xf>
    <xf numFmtId="165" fontId="0" fillId="0" borderId="41" xfId="1" applyFont="1" applyBorder="1" applyAlignment="1">
      <alignment horizontal="center" vertical="center"/>
    </xf>
    <xf numFmtId="165" fontId="0" fillId="0" borderId="42" xfId="1" applyFont="1"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center" vertical="center"/>
    </xf>
  </cellXfs>
  <cellStyles count="9">
    <cellStyle name="Comma" xfId="1" builtinId="3"/>
    <cellStyle name="Comma 10" xfId="6" xr:uid="{71536567-3FFD-489D-A0BD-4AE5E538B900}"/>
    <cellStyle name="Comma 2" xfId="5" xr:uid="{879BC7E9-F131-4E63-ABC0-0A72F71EF902}"/>
    <cellStyle name="Comma 3" xfId="3" xr:uid="{8322B034-4972-4FA7-B99C-0804191779D6}"/>
    <cellStyle name="Currency" xfId="2" builtinId="4"/>
    <cellStyle name="Hyperlink" xfId="7" builtinId="8"/>
    <cellStyle name="Normal" xfId="0" builtinId="0"/>
    <cellStyle name="Normal 114 2 2 2 2 2" xfId="4" xr:uid="{F1B120DB-DB94-4120-913C-2A55B9483735}"/>
    <cellStyle name="Normal 2" xfId="8" xr:uid="{E4F45B93-83A9-403B-991F-FCB5B52FC053}"/>
  </cellStyles>
  <dxfs count="5">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border>
        <left style="thin">
          <color rgb="FF9C0006"/>
        </left>
        <right style="thin">
          <color rgb="FF9C0006"/>
        </right>
        <top style="thin">
          <color rgb="FF9C0006"/>
        </top>
        <bottom style="thin">
          <color rgb="FF9C0006"/>
        </bottom>
      </border>
    </dxf>
  </dxfs>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108857</xdr:colOff>
      <xdr:row>41</xdr:row>
      <xdr:rowOff>160730</xdr:rowOff>
    </xdr:to>
    <xdr:pic>
      <xdr:nvPicPr>
        <xdr:cNvPr id="2" name="Picture 1">
          <a:extLst>
            <a:ext uri="{FF2B5EF4-FFF2-40B4-BE49-F238E27FC236}">
              <a16:creationId xmlns:a16="http://schemas.microsoft.com/office/drawing/2014/main" id="{0EB09101-F0A9-83DB-6B3E-BFDF352BE728}"/>
            </a:ext>
          </a:extLst>
        </xdr:cNvPr>
        <xdr:cNvPicPr>
          <a:picLocks noChangeAspect="1"/>
        </xdr:cNvPicPr>
      </xdr:nvPicPr>
      <xdr:blipFill>
        <a:blip xmlns:r="http://schemas.openxmlformats.org/officeDocument/2006/relationships" r:embed="rId1"/>
        <a:stretch>
          <a:fillRect/>
        </a:stretch>
      </xdr:blipFill>
      <xdr:spPr>
        <a:xfrm>
          <a:off x="0" y="0"/>
          <a:ext cx="11049000" cy="75993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kash.g\Downloads\Central%20Park%20Final%20Budget_V3%20(1).xlsx" TargetMode="External"/><Relationship Id="rId1" Type="http://schemas.openxmlformats.org/officeDocument/2006/relationships/externalLinkPath" Target="file:///C:\Users\akash.g\Downloads\Central%20Park%20Final%20Budget_V3%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l cover "/>
      <sheetName val="cover"/>
      <sheetName val="Budget Summary"/>
      <sheetName val="BOQ"/>
      <sheetName val="M-sheet_CB"/>
      <sheetName val="M-sheet_Restroom &amp; ELec room"/>
      <sheetName val="M-sheet_courts"/>
      <sheetName val="Sheet1"/>
      <sheetName val="Doors &amp; windows"/>
      <sheetName val="Equipment list"/>
      <sheetName val="MEP Budget"/>
      <sheetName val="Sheet2"/>
      <sheetName val="Sheet3"/>
      <sheetName val="NGVD"/>
      <sheetName val="Payroll &amp; OH"/>
      <sheetName val="Basic rates"/>
      <sheetName val="MM60"/>
      <sheetName val="PO dump"/>
    </sheetNames>
    <sheetDataSet>
      <sheetData sheetId="0"/>
      <sheetData sheetId="1"/>
      <sheetData sheetId="2"/>
      <sheetData sheetId="3">
        <row r="142">
          <cell r="C142" t="str">
            <v xml:space="preserve">2" Layer of Top soil </v>
          </cell>
        </row>
      </sheetData>
      <sheetData sheetId="4"/>
      <sheetData sheetId="5">
        <row r="1">
          <cell r="B1" t="str">
            <v>Item Description</v>
          </cell>
        </row>
        <row r="2">
          <cell r="H2" t="str">
            <v>Qty</v>
          </cell>
        </row>
        <row r="3">
          <cell r="B3" t="str">
            <v>Foundation &amp; Shell works</v>
          </cell>
        </row>
        <row r="4">
          <cell r="B4" t="str">
            <v>Excavation</v>
          </cell>
        </row>
        <row r="5">
          <cell r="B5" t="str">
            <v>Men restroom</v>
          </cell>
        </row>
        <row r="6">
          <cell r="B6" t="str">
            <v>W6 - 8" Precast bearing wall</v>
          </cell>
          <cell r="H6">
            <v>607.5</v>
          </cell>
        </row>
        <row r="7">
          <cell r="B7" t="str">
            <v>W7 - 8" Precast bearing wall</v>
          </cell>
          <cell r="H7">
            <v>307.125</v>
          </cell>
        </row>
        <row r="8">
          <cell r="B8" t="str">
            <v>Women restroom</v>
          </cell>
        </row>
        <row r="9">
          <cell r="B9" t="str">
            <v>W6 - 8" Precast bearing wall</v>
          </cell>
          <cell r="H9">
            <v>303.75</v>
          </cell>
        </row>
        <row r="10">
          <cell r="B10" t="str">
            <v>W7 - 8" Precast bearing wall</v>
          </cell>
          <cell r="H10">
            <v>313.87500000000006</v>
          </cell>
        </row>
        <row r="11">
          <cell r="B11" t="str">
            <v xml:space="preserve">Janitor Room </v>
          </cell>
        </row>
        <row r="12">
          <cell r="B12" t="str">
            <v>W7 - 8" Precast bearing wall</v>
          </cell>
          <cell r="H12">
            <v>232.875</v>
          </cell>
        </row>
        <row r="13">
          <cell r="B13" t="str">
            <v>W6 - 8" Precast bearing wall</v>
          </cell>
          <cell r="H13">
            <v>307.125</v>
          </cell>
        </row>
        <row r="15">
          <cell r="B15" t="str">
            <v xml:space="preserve">Periphery wall </v>
          </cell>
          <cell r="H15">
            <v>1173.2499999999998</v>
          </cell>
        </row>
        <row r="16">
          <cell r="B16" t="str">
            <v xml:space="preserve">Electrical Room </v>
          </cell>
        </row>
        <row r="17">
          <cell r="B17" t="str">
            <v xml:space="preserve">W8 - 8" Precast bearing wall </v>
          </cell>
          <cell r="H17">
            <v>800</v>
          </cell>
        </row>
        <row r="18">
          <cell r="B18" t="str">
            <v>W8 - 8" Precast bearing wall</v>
          </cell>
          <cell r="H18">
            <v>425.00000000000006</v>
          </cell>
        </row>
        <row r="20">
          <cell r="B20" t="str">
            <v>Backfilling</v>
          </cell>
        </row>
        <row r="22">
          <cell r="B22" t="str">
            <v xml:space="preserve">Filling inside the foundation </v>
          </cell>
          <cell r="H22">
            <v>500</v>
          </cell>
        </row>
        <row r="23">
          <cell r="B23" t="str">
            <v xml:space="preserve">At the peripthery </v>
          </cell>
          <cell r="H23">
            <v>367.5</v>
          </cell>
        </row>
        <row r="24">
          <cell r="B24" t="str">
            <v>Electrical Room</v>
          </cell>
        </row>
        <row r="25">
          <cell r="B25" t="str">
            <v xml:space="preserve">Filling inside the foundation </v>
          </cell>
          <cell r="H25">
            <v>690</v>
          </cell>
        </row>
        <row r="26">
          <cell r="B26" t="str">
            <v xml:space="preserve">At the peripthery </v>
          </cell>
          <cell r="H26">
            <v>507.15000000000003</v>
          </cell>
        </row>
        <row r="28">
          <cell r="B28" t="str">
            <v>Anti terminte treatment</v>
          </cell>
        </row>
        <row r="29">
          <cell r="B29" t="str">
            <v xml:space="preserve">Plinth area </v>
          </cell>
          <cell r="H29">
            <v>241.77777777777777</v>
          </cell>
        </row>
        <row r="30">
          <cell r="B30" t="str">
            <v>Along the perimeter</v>
          </cell>
          <cell r="H30">
            <v>163.33333333333331</v>
          </cell>
        </row>
        <row r="31">
          <cell r="B31" t="str">
            <v>Electrical Room</v>
          </cell>
        </row>
        <row r="32">
          <cell r="B32" t="str">
            <v xml:space="preserve">Plinth area </v>
          </cell>
          <cell r="H32">
            <v>241.77777777777777</v>
          </cell>
        </row>
        <row r="33">
          <cell r="B33" t="str">
            <v>Along the perimeter</v>
          </cell>
          <cell r="H33">
            <v>225.4</v>
          </cell>
        </row>
        <row r="35">
          <cell r="B35" t="str">
            <v xml:space="preserve">Vapour Barrier </v>
          </cell>
        </row>
        <row r="36">
          <cell r="B36" t="str">
            <v>Grade slab area</v>
          </cell>
          <cell r="H36">
            <v>200</v>
          </cell>
        </row>
        <row r="37">
          <cell r="B37" t="str">
            <v xml:space="preserve">Staircase are </v>
          </cell>
          <cell r="H37">
            <v>53.199999999999996</v>
          </cell>
        </row>
        <row r="38">
          <cell r="B38" t="str">
            <v>Electrical Room</v>
          </cell>
        </row>
        <row r="39">
          <cell r="B39" t="str">
            <v>Grade slab area</v>
          </cell>
          <cell r="H39">
            <v>200</v>
          </cell>
        </row>
        <row r="40">
          <cell r="B40" t="str">
            <v xml:space="preserve">Staircase are </v>
          </cell>
          <cell r="H40">
            <v>53.199999999999996</v>
          </cell>
        </row>
        <row r="42">
          <cell r="B42" t="str">
            <v>Expansion Joint</v>
          </cell>
        </row>
        <row r="43">
          <cell r="B43" t="str">
            <v xml:space="preserve">Along perimeter </v>
          </cell>
          <cell r="H43">
            <v>65.333333333333329</v>
          </cell>
        </row>
        <row r="44">
          <cell r="B44" t="str">
            <v>Near entrance wall</v>
          </cell>
          <cell r="H44">
            <v>11.33</v>
          </cell>
        </row>
        <row r="45">
          <cell r="B45" t="str">
            <v xml:space="preserve">near pedastrian path </v>
          </cell>
          <cell r="H45">
            <v>7</v>
          </cell>
        </row>
        <row r="46">
          <cell r="B46" t="str">
            <v>Electrical Room</v>
          </cell>
        </row>
        <row r="47">
          <cell r="B47" t="str">
            <v xml:space="preserve">Along perimeter </v>
          </cell>
          <cell r="H47">
            <v>65.333333333333329</v>
          </cell>
        </row>
        <row r="48">
          <cell r="B48" t="str">
            <v>Near entrance wall</v>
          </cell>
          <cell r="H48">
            <v>11.33</v>
          </cell>
        </row>
        <row r="49">
          <cell r="B49" t="str">
            <v xml:space="preserve">near pedastrian path </v>
          </cell>
          <cell r="H49">
            <v>7</v>
          </cell>
        </row>
        <row r="51">
          <cell r="B51" t="str">
            <v>Foundation Concrete</v>
          </cell>
        </row>
        <row r="52">
          <cell r="B52" t="str">
            <v xml:space="preserve">Footing Beam </v>
          </cell>
        </row>
        <row r="53">
          <cell r="B53" t="str">
            <v xml:space="preserve">W8 - 8" Precast bearing wall </v>
          </cell>
          <cell r="H53">
            <v>53.333333333333329</v>
          </cell>
        </row>
        <row r="54">
          <cell r="B54" t="str">
            <v>W8 - 8" Precast bearing wall</v>
          </cell>
          <cell r="H54">
            <v>53.333333333333329</v>
          </cell>
        </row>
        <row r="55">
          <cell r="B55" t="str">
            <v>W8 - 8" Precast bearing wall</v>
          </cell>
          <cell r="H55">
            <v>50</v>
          </cell>
        </row>
        <row r="56">
          <cell r="B56" t="str">
            <v>Footing Wall</v>
          </cell>
        </row>
        <row r="57">
          <cell r="B57" t="str">
            <v xml:space="preserve">W8 - 8" Precast bearing wall </v>
          </cell>
          <cell r="H57">
            <v>45.037037037037031</v>
          </cell>
        </row>
        <row r="58">
          <cell r="B58" t="str">
            <v>W8 - 8" Precast bearing wall</v>
          </cell>
          <cell r="H58">
            <v>45.037037037037031</v>
          </cell>
        </row>
        <row r="59">
          <cell r="B59" t="str">
            <v>W8 - 8" Precast bearing wall</v>
          </cell>
          <cell r="H59">
            <v>42.222222222222214</v>
          </cell>
        </row>
        <row r="61">
          <cell r="B61" t="str">
            <v xml:space="preserve">Grade slab </v>
          </cell>
          <cell r="H61">
            <v>66.666666666666657</v>
          </cell>
        </row>
        <row r="62">
          <cell r="B62" t="str">
            <v xml:space="preserve">Staircase </v>
          </cell>
        </row>
        <row r="63">
          <cell r="B63" t="str">
            <v xml:space="preserve">landing </v>
          </cell>
          <cell r="H63">
            <v>10.5</v>
          </cell>
        </row>
        <row r="64">
          <cell r="B64" t="str">
            <v>steps</v>
          </cell>
          <cell r="H64">
            <v>16.099999999999998</v>
          </cell>
        </row>
        <row r="65">
          <cell r="H65">
            <v>8.1199999999999992</v>
          </cell>
        </row>
        <row r="66">
          <cell r="H66">
            <v>3.1111111111111107</v>
          </cell>
        </row>
        <row r="67">
          <cell r="B67" t="str">
            <v>Electrical Room</v>
          </cell>
        </row>
        <row r="68">
          <cell r="B68" t="str">
            <v xml:space="preserve">Footing Beam </v>
          </cell>
        </row>
        <row r="69">
          <cell r="B69" t="str">
            <v xml:space="preserve">W8 - 8" Precast bearing wall </v>
          </cell>
          <cell r="H69">
            <v>53.333333333333329</v>
          </cell>
        </row>
        <row r="70">
          <cell r="B70" t="str">
            <v>W8 - 8" Precast bearing wall</v>
          </cell>
          <cell r="H70">
            <v>53.333333333333329</v>
          </cell>
        </row>
        <row r="71">
          <cell r="B71" t="str">
            <v>W8 - 8" Precast bearing wall</v>
          </cell>
          <cell r="H71">
            <v>50</v>
          </cell>
        </row>
        <row r="72">
          <cell r="B72" t="str">
            <v>Footing Wall</v>
          </cell>
        </row>
        <row r="73">
          <cell r="B73" t="str">
            <v xml:space="preserve">W8 - 8" Precast bearing wall </v>
          </cell>
          <cell r="H73">
            <v>45.037037037037031</v>
          </cell>
        </row>
        <row r="74">
          <cell r="B74" t="str">
            <v>W8 - 8" Precast bearing wall</v>
          </cell>
          <cell r="H74">
            <v>45.037037037037031</v>
          </cell>
        </row>
        <row r="75">
          <cell r="B75" t="str">
            <v>W8 - 8" Precast bearing wall</v>
          </cell>
          <cell r="H75">
            <v>42.222222222222214</v>
          </cell>
        </row>
        <row r="77">
          <cell r="B77" t="str">
            <v xml:space="preserve">Grade slab </v>
          </cell>
          <cell r="H77">
            <v>66.666666666666657</v>
          </cell>
        </row>
        <row r="78">
          <cell r="B78" t="str">
            <v xml:space="preserve">Staircase </v>
          </cell>
        </row>
        <row r="79">
          <cell r="B79" t="str">
            <v xml:space="preserve">landing </v>
          </cell>
          <cell r="H79">
            <v>10.5</v>
          </cell>
        </row>
        <row r="80">
          <cell r="B80" t="str">
            <v>steps</v>
          </cell>
          <cell r="H80">
            <v>16.099999999999998</v>
          </cell>
        </row>
        <row r="81">
          <cell r="H81">
            <v>8.1199999999999992</v>
          </cell>
        </row>
        <row r="82">
          <cell r="H82">
            <v>3.1111111111111107</v>
          </cell>
        </row>
        <row r="84">
          <cell r="B84" t="str">
            <v>Shuttering works</v>
          </cell>
        </row>
        <row r="85">
          <cell r="B85" t="str">
            <v xml:space="preserve">Footing Beam </v>
          </cell>
        </row>
        <row r="86">
          <cell r="B86" t="str">
            <v xml:space="preserve">W8 - 8" Precast bearing wall </v>
          </cell>
          <cell r="H86">
            <v>47.666666666666664</v>
          </cell>
        </row>
        <row r="87">
          <cell r="B87" t="str">
            <v>W8 - 8" Precast bearing wall</v>
          </cell>
          <cell r="H87">
            <v>47.666666666666664</v>
          </cell>
        </row>
        <row r="88">
          <cell r="B88" t="str">
            <v>W8 - 8" Precast bearing wall</v>
          </cell>
          <cell r="H88">
            <v>50</v>
          </cell>
        </row>
        <row r="89">
          <cell r="B89" t="str">
            <v>Footing Wall</v>
          </cell>
        </row>
        <row r="90">
          <cell r="B90" t="str">
            <v xml:space="preserve">W8 - 8" Precast bearing wall </v>
          </cell>
          <cell r="H90">
            <v>139.33333333333331</v>
          </cell>
        </row>
        <row r="91">
          <cell r="B91" t="str">
            <v>W8 - 8" Precast bearing wall</v>
          </cell>
          <cell r="H91">
            <v>139.33333333333331</v>
          </cell>
        </row>
        <row r="92">
          <cell r="B92" t="str">
            <v>W8 - 8" Precast bearing wall</v>
          </cell>
          <cell r="H92">
            <v>135.11111111111109</v>
          </cell>
        </row>
        <row r="94">
          <cell r="B94" t="str">
            <v xml:space="preserve">Grade slab </v>
          </cell>
          <cell r="H94">
            <v>20</v>
          </cell>
        </row>
        <row r="95">
          <cell r="B95" t="str">
            <v xml:space="preserve">Staicase landing </v>
          </cell>
          <cell r="H95">
            <v>10</v>
          </cell>
        </row>
        <row r="96">
          <cell r="B96" t="str">
            <v>Staircase steps</v>
          </cell>
          <cell r="H96">
            <v>11.6</v>
          </cell>
        </row>
        <row r="97">
          <cell r="B97" t="str">
            <v>Staircase steps</v>
          </cell>
          <cell r="H97">
            <v>14</v>
          </cell>
        </row>
        <row r="98">
          <cell r="B98" t="str">
            <v>Staircase steps</v>
          </cell>
          <cell r="H98">
            <v>10.226666666666667</v>
          </cell>
        </row>
        <row r="100">
          <cell r="B100" t="str">
            <v>Electrical Room</v>
          </cell>
        </row>
        <row r="101">
          <cell r="B101" t="str">
            <v xml:space="preserve">Footing Beam </v>
          </cell>
        </row>
        <row r="102">
          <cell r="B102" t="str">
            <v xml:space="preserve">W8 - 8" Precast bearing wall </v>
          </cell>
          <cell r="H102">
            <v>47.666666666666664</v>
          </cell>
        </row>
        <row r="103">
          <cell r="B103" t="str">
            <v>W8 - 8" Precast bearing wall</v>
          </cell>
          <cell r="H103">
            <v>47.666666666666664</v>
          </cell>
        </row>
        <row r="104">
          <cell r="B104" t="str">
            <v>W8 - 8" Precast bearing wall</v>
          </cell>
          <cell r="H104">
            <v>50</v>
          </cell>
        </row>
        <row r="105">
          <cell r="B105" t="str">
            <v>Footing Wall</v>
          </cell>
        </row>
        <row r="106">
          <cell r="B106" t="str">
            <v xml:space="preserve">W8 - 8" Precast bearing wall </v>
          </cell>
          <cell r="H106">
            <v>139.33333333333331</v>
          </cell>
        </row>
        <row r="107">
          <cell r="B107" t="str">
            <v>W8 - 8" Precast bearing wall</v>
          </cell>
          <cell r="H107">
            <v>139.33333333333331</v>
          </cell>
        </row>
        <row r="108">
          <cell r="B108" t="str">
            <v>W8 - 8" Precast bearing wall</v>
          </cell>
          <cell r="H108">
            <v>135.11111111111109</v>
          </cell>
        </row>
        <row r="110">
          <cell r="B110" t="str">
            <v xml:space="preserve">Grade slab </v>
          </cell>
          <cell r="H110">
            <v>20</v>
          </cell>
        </row>
        <row r="111">
          <cell r="B111" t="str">
            <v xml:space="preserve">Staicase landing </v>
          </cell>
          <cell r="H111">
            <v>10</v>
          </cell>
        </row>
        <row r="112">
          <cell r="B112" t="str">
            <v>steps</v>
          </cell>
          <cell r="H112">
            <v>11.6</v>
          </cell>
        </row>
        <row r="113">
          <cell r="H113">
            <v>14</v>
          </cell>
        </row>
        <row r="114">
          <cell r="H114">
            <v>10.226666666666667</v>
          </cell>
        </row>
        <row r="117">
          <cell r="B117" t="str">
            <v>Reinforcement</v>
          </cell>
        </row>
        <row r="118">
          <cell r="B118" t="str">
            <v xml:space="preserve">Foundation concrete </v>
          </cell>
          <cell r="H118">
            <v>2914.5240054869687</v>
          </cell>
        </row>
        <row r="119">
          <cell r="B119" t="str">
            <v xml:space="preserve">Structure concrete </v>
          </cell>
          <cell r="H119">
            <v>7763.415226337449</v>
          </cell>
        </row>
        <row r="120">
          <cell r="B120" t="str">
            <v>Electrical Room</v>
          </cell>
        </row>
        <row r="121">
          <cell r="B121" t="str">
            <v xml:space="preserve">Foundation concrete </v>
          </cell>
          <cell r="H121">
            <v>1457.2620027434843</v>
          </cell>
        </row>
        <row r="122">
          <cell r="B122" t="str">
            <v xml:space="preserve">Structure concrete </v>
          </cell>
          <cell r="H122">
            <v>1638.9094650205759</v>
          </cell>
        </row>
        <row r="125">
          <cell r="B125" t="str">
            <v>External Wall</v>
          </cell>
        </row>
        <row r="126">
          <cell r="B126" t="str">
            <v xml:space="preserve">W8 - 8" Precast bearing wall </v>
          </cell>
          <cell r="H126">
            <v>142.22222222222223</v>
          </cell>
        </row>
        <row r="127">
          <cell r="B127" t="str">
            <v>W8 - 8" Precast bearing wall</v>
          </cell>
          <cell r="H127">
            <v>142.22222222222223</v>
          </cell>
        </row>
        <row r="128">
          <cell r="B128" t="str">
            <v>W8 - 8" Precast bearing wall</v>
          </cell>
          <cell r="H128">
            <v>133.33333333333331</v>
          </cell>
        </row>
        <row r="129">
          <cell r="B129" t="str">
            <v>Deductions</v>
          </cell>
        </row>
        <row r="130">
          <cell r="B130" t="str">
            <v>E1 Door</v>
          </cell>
          <cell r="H130">
            <v>-13.999999999999998</v>
          </cell>
        </row>
        <row r="131">
          <cell r="B131" t="str">
            <v>R5 Window</v>
          </cell>
          <cell r="H131">
            <v>-1.5</v>
          </cell>
        </row>
        <row r="132">
          <cell r="B132" t="str">
            <v>Electrical Room</v>
          </cell>
        </row>
        <row r="133">
          <cell r="B133" t="str">
            <v xml:space="preserve">W8 - 8" Precast bearing wall </v>
          </cell>
          <cell r="H133">
            <v>142.22222222222223</v>
          </cell>
        </row>
        <row r="134">
          <cell r="B134" t="str">
            <v>W8 - 8" Precast bearing wall</v>
          </cell>
          <cell r="H134">
            <v>142.22222222222223</v>
          </cell>
        </row>
        <row r="135">
          <cell r="B135" t="str">
            <v>W8 - 8" Precast bearing wall</v>
          </cell>
          <cell r="H135">
            <v>133.33333333333331</v>
          </cell>
        </row>
        <row r="136">
          <cell r="B136" t="str">
            <v>Deductions</v>
          </cell>
        </row>
        <row r="137">
          <cell r="B137" t="str">
            <v>E1 Door</v>
          </cell>
          <cell r="H137">
            <v>-13.999999999999998</v>
          </cell>
        </row>
        <row r="138">
          <cell r="B138" t="str">
            <v>R5 Window</v>
          </cell>
          <cell r="H138">
            <v>-1.5</v>
          </cell>
        </row>
        <row r="140">
          <cell r="B140" t="str">
            <v xml:space="preserve">Roof concrete </v>
          </cell>
        </row>
        <row r="141">
          <cell r="B141" t="str">
            <v xml:space="preserve">24" - Precast Concrete parapet </v>
          </cell>
          <cell r="H141">
            <v>267.5</v>
          </cell>
        </row>
        <row r="142">
          <cell r="B142" t="str">
            <v>Roof concrete - Restrooms</v>
          </cell>
          <cell r="H142">
            <v>347.89499999999998</v>
          </cell>
        </row>
        <row r="143">
          <cell r="B143" t="str">
            <v>Roof concrete - Electrical Room</v>
          </cell>
          <cell r="H143">
            <v>137.72</v>
          </cell>
        </row>
        <row r="146">
          <cell r="B146" t="str">
            <v xml:space="preserve">Drywall </v>
          </cell>
        </row>
        <row r="147">
          <cell r="B147" t="str">
            <v>Women  Restroom</v>
          </cell>
        </row>
        <row r="148">
          <cell r="B148" t="str">
            <v>W6-wall</v>
          </cell>
        </row>
        <row r="149">
          <cell r="B149" t="str">
            <v>Drywall- Finish coat of Portaland Cement plaster</v>
          </cell>
          <cell r="H149">
            <v>151.66666666666666</v>
          </cell>
        </row>
        <row r="150">
          <cell r="B150" t="str">
            <v>Drywall - 5/8" Dense glass</v>
          </cell>
          <cell r="H150">
            <v>75.833333333333329</v>
          </cell>
        </row>
        <row r="151">
          <cell r="B151" t="str">
            <v>Drywall -1 5/8" Heavy Gage metal studs-16" OC</v>
          </cell>
          <cell r="H151">
            <v>60</v>
          </cell>
        </row>
        <row r="152">
          <cell r="B152" t="str">
            <v>Drywall - Tracks</v>
          </cell>
          <cell r="H152">
            <v>22.75</v>
          </cell>
        </row>
        <row r="154">
          <cell r="B154" t="str">
            <v xml:space="preserve">Men Restroom </v>
          </cell>
        </row>
        <row r="155">
          <cell r="B155" t="str">
            <v>W6-wall</v>
          </cell>
        </row>
        <row r="156">
          <cell r="B156" t="str">
            <v>Drywall- Finish coat of Portaland Cement plaster</v>
          </cell>
          <cell r="H156">
            <v>425</v>
          </cell>
        </row>
        <row r="157">
          <cell r="B157" t="str">
            <v>Drywall - 5/8" Dense glass</v>
          </cell>
          <cell r="H157">
            <v>212.5</v>
          </cell>
        </row>
        <row r="158">
          <cell r="B158" t="str">
            <v>Drywall -1 5/8" Heavy Gage metal studs-16" OC</v>
          </cell>
          <cell r="H158">
            <v>160</v>
          </cell>
        </row>
        <row r="159">
          <cell r="B159" t="str">
            <v>Drywall - Tracks</v>
          </cell>
          <cell r="H159">
            <v>63.75</v>
          </cell>
        </row>
        <row r="161">
          <cell r="B161" t="str">
            <v xml:space="preserve">Ceiling </v>
          </cell>
        </row>
        <row r="162">
          <cell r="B162" t="str">
            <v>Women  Restroom</v>
          </cell>
        </row>
        <row r="163">
          <cell r="B163" t="str">
            <v>Ceiling - Finish coat of Portaland Cement plaster</v>
          </cell>
          <cell r="H163">
            <v>48.659722222222221</v>
          </cell>
        </row>
        <row r="164">
          <cell r="B164" t="str">
            <v>Ceiling - 5/8" Dense glass</v>
          </cell>
          <cell r="H164">
            <v>48.659722222222221</v>
          </cell>
        </row>
        <row r="165">
          <cell r="B165" t="str">
            <v>Ceiling -1 5/8" Heavy Gage metal studs-16" OC</v>
          </cell>
          <cell r="H165">
            <v>38.5</v>
          </cell>
        </row>
        <row r="166">
          <cell r="B166" t="str">
            <v>Ceiling -Tracks</v>
          </cell>
          <cell r="H166">
            <v>30.333333333333332</v>
          </cell>
        </row>
        <row r="167">
          <cell r="B167" t="str">
            <v xml:space="preserve">Men Restroom </v>
          </cell>
        </row>
        <row r="168">
          <cell r="B168" t="str">
            <v>Ceiling - Finish coat of Portaland Cement plaster</v>
          </cell>
          <cell r="H168">
            <v>103.63888888888889</v>
          </cell>
        </row>
        <row r="169">
          <cell r="B169" t="str">
            <v>Ceiling - 5/8" Dense glass</v>
          </cell>
          <cell r="H169">
            <v>103.63888888888889</v>
          </cell>
        </row>
        <row r="170">
          <cell r="B170" t="str">
            <v>Ceiling -1 5/8" Heavy Gage metal studs-16" OC</v>
          </cell>
          <cell r="H170">
            <v>82</v>
          </cell>
        </row>
        <row r="171">
          <cell r="B171" t="str">
            <v>Ceiling -Tracks</v>
          </cell>
          <cell r="H171">
            <v>53.083333333333329</v>
          </cell>
        </row>
        <row r="172">
          <cell r="B172" t="str">
            <v xml:space="preserve">Janitor Room </v>
          </cell>
        </row>
        <row r="173">
          <cell r="B173" t="str">
            <v>Ceiling - Finish coat of Portaland Cement plaster</v>
          </cell>
          <cell r="H173">
            <v>29.652777777777775</v>
          </cell>
        </row>
        <row r="174">
          <cell r="B174" t="str">
            <v>Ceiling - 5/8" Dense glass</v>
          </cell>
          <cell r="H174">
            <v>29.652777777777775</v>
          </cell>
        </row>
        <row r="175">
          <cell r="B175" t="str">
            <v>Ceiling -1 5/8" Heavy Gage metal studs-16" OC</v>
          </cell>
          <cell r="H175">
            <v>25.416666666666664</v>
          </cell>
        </row>
        <row r="176">
          <cell r="B176" t="str">
            <v>Ceiling -Tracks</v>
          </cell>
          <cell r="H176">
            <v>17.5</v>
          </cell>
        </row>
        <row r="177">
          <cell r="B177" t="str">
            <v>Ceiling -R-19 - Fiberglass Insulation / Attic</v>
          </cell>
          <cell r="H177">
            <v>313.10550000000001</v>
          </cell>
        </row>
        <row r="179">
          <cell r="B179" t="str">
            <v>Hand Rail</v>
          </cell>
        </row>
        <row r="180">
          <cell r="B180" t="str">
            <v>Stairs - 1 1/2" Aluminium railing</v>
          </cell>
          <cell r="H180">
            <v>17</v>
          </cell>
        </row>
        <row r="181">
          <cell r="B181" t="str">
            <v>Stairs - 1 1/2" Aluminium railing</v>
          </cell>
          <cell r="H181">
            <v>22.666666666666668</v>
          </cell>
        </row>
        <row r="182">
          <cell r="H182">
            <v>45.333333333333336</v>
          </cell>
        </row>
        <row r="184">
          <cell r="B184" t="str">
            <v>Flooring works</v>
          </cell>
        </row>
        <row r="186">
          <cell r="B186" t="str">
            <v>F1 - Porcelain tiles 8"x8" (Graphite)</v>
          </cell>
          <cell r="H186">
            <v>48.659722222222221</v>
          </cell>
        </row>
        <row r="187">
          <cell r="B187" t="str">
            <v>F1 - Porcelain tiles 8"x8" (Graphite)</v>
          </cell>
          <cell r="H187">
            <v>103.63888888888889</v>
          </cell>
        </row>
        <row r="188">
          <cell r="B188" t="str">
            <v>F1 - Porcelain tiles 8"x8" (Graphite)</v>
          </cell>
          <cell r="H188">
            <v>29.635833333333331</v>
          </cell>
        </row>
        <row r="189">
          <cell r="B189" t="str">
            <v xml:space="preserve">F3 - Sealeast exposed Finish concrete, Exterior grade finish </v>
          </cell>
          <cell r="H189">
            <v>54.24305555555555</v>
          </cell>
        </row>
        <row r="190">
          <cell r="B190" t="str">
            <v xml:space="preserve">F3 - Sealeast exposed Finish concrete, Exterior grade finish </v>
          </cell>
          <cell r="H190">
            <v>320.89999999999998</v>
          </cell>
        </row>
        <row r="191">
          <cell r="B191" t="str">
            <v xml:space="preserve">F3 - Sealeast exposed Finish concrete, Exterior grade finish </v>
          </cell>
          <cell r="H191">
            <v>48.75</v>
          </cell>
        </row>
        <row r="192">
          <cell r="B192" t="str">
            <v xml:space="preserve">F3 - Sealeast exposed Finish concrete, Exterior grade finish </v>
          </cell>
          <cell r="H192">
            <v>293.45</v>
          </cell>
        </row>
        <row r="193">
          <cell r="B193" t="str">
            <v xml:space="preserve">F3 - Sealeast exposed Finish concrete, Exterior grade finish </v>
          </cell>
          <cell r="H193">
            <v>200</v>
          </cell>
        </row>
        <row r="196">
          <cell r="B196" t="str">
            <v xml:space="preserve">Baseboard </v>
          </cell>
        </row>
        <row r="197">
          <cell r="B197" t="str">
            <v xml:space="preserve">B2 - 2'x 6" P.T Wood - White </v>
          </cell>
          <cell r="H197">
            <v>28</v>
          </cell>
        </row>
        <row r="198">
          <cell r="B198" t="str">
            <v xml:space="preserve">B2 - 2'x 6" P.T Wood - White </v>
          </cell>
          <cell r="H198">
            <v>41.39</v>
          </cell>
        </row>
        <row r="199">
          <cell r="B199" t="str">
            <v xml:space="preserve">B2 - 2'x 6" P.T Wood - White </v>
          </cell>
          <cell r="H199">
            <v>21.826666666666668</v>
          </cell>
        </row>
        <row r="200">
          <cell r="B200" t="str">
            <v xml:space="preserve">B2 - 2'x 6" P.T Wood - White </v>
          </cell>
          <cell r="H200">
            <v>40.93</v>
          </cell>
        </row>
        <row r="201">
          <cell r="B201" t="str">
            <v xml:space="preserve">B2 - 2'x 6" P.T Wood - White </v>
          </cell>
          <cell r="H201">
            <v>17.3</v>
          </cell>
        </row>
        <row r="202">
          <cell r="B202" t="str">
            <v xml:space="preserve">B2 - 2'x 6" P.T Wood - White </v>
          </cell>
          <cell r="H202">
            <v>60</v>
          </cell>
        </row>
        <row r="204">
          <cell r="B204" t="str">
            <v xml:space="preserve">External Painting </v>
          </cell>
        </row>
        <row r="206">
          <cell r="H206">
            <v>178.33333333333331</v>
          </cell>
        </row>
        <row r="210">
          <cell r="B210" t="str">
            <v>Internal Painting</v>
          </cell>
        </row>
        <row r="211">
          <cell r="H211">
            <v>280</v>
          </cell>
        </row>
        <row r="212">
          <cell r="H212">
            <v>425</v>
          </cell>
        </row>
        <row r="213">
          <cell r="H213">
            <v>218.26666666666668</v>
          </cell>
        </row>
        <row r="216">
          <cell r="B216" t="str">
            <v>Internal Painting</v>
          </cell>
        </row>
        <row r="217">
          <cell r="B217" t="str">
            <v>ceiling</v>
          </cell>
          <cell r="H217">
            <v>48.659722222222221</v>
          </cell>
        </row>
        <row r="218">
          <cell r="H218">
            <v>103.63888888888889</v>
          </cell>
        </row>
        <row r="219">
          <cell r="H219">
            <v>30.076388888888889</v>
          </cell>
        </row>
        <row r="220">
          <cell r="H220">
            <v>54.24305555555555</v>
          </cell>
        </row>
        <row r="221">
          <cell r="H221">
            <v>48.75</v>
          </cell>
        </row>
        <row r="222">
          <cell r="H222">
            <v>320.89999999999998</v>
          </cell>
        </row>
        <row r="223">
          <cell r="H223">
            <v>200</v>
          </cell>
        </row>
        <row r="225">
          <cell r="B225" t="str">
            <v>Waterproofing works</v>
          </cell>
        </row>
        <row r="227">
          <cell r="H227">
            <v>48.659722222222221</v>
          </cell>
        </row>
        <row r="228">
          <cell r="H228">
            <v>103.63888888888889</v>
          </cell>
        </row>
        <row r="229">
          <cell r="H229">
            <v>30.076388888888889</v>
          </cell>
        </row>
        <row r="230">
          <cell r="H230">
            <v>54.24305555555555</v>
          </cell>
        </row>
        <row r="231">
          <cell r="H231">
            <v>48.75</v>
          </cell>
        </row>
        <row r="232">
          <cell r="H232">
            <v>320.89999999999998</v>
          </cell>
        </row>
        <row r="233">
          <cell r="H233">
            <v>200</v>
          </cell>
        </row>
      </sheetData>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wildwood-fl.gov/sites/default/files/fileattachments/development_services/page/2861/wildwood_construction_costs_sanitary_sewer.pdf"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cad-steel.com/steel-sections/hss-shapes-rectangular-and-square" TargetMode="External"/><Relationship Id="rId4"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37089-1564-44BA-962F-8824FF7CCF43}">
  <dimension ref="B1:X18"/>
  <sheetViews>
    <sheetView topLeftCell="A4" workbookViewId="0">
      <selection activeCell="B13" sqref="B13"/>
    </sheetView>
  </sheetViews>
  <sheetFormatPr defaultColWidth="9.140625" defaultRowHeight="15.75" x14ac:dyDescent="0.25"/>
  <cols>
    <col min="1" max="1" width="4.28515625" style="143" customWidth="1"/>
    <col min="2" max="2" width="20.7109375" style="166" customWidth="1"/>
    <col min="3" max="3" width="38" style="143" customWidth="1"/>
    <col min="4" max="4" width="16.42578125" style="141" customWidth="1"/>
    <col min="5" max="5" width="18.85546875" style="141" customWidth="1"/>
    <col min="6" max="6" width="18.42578125" style="142" customWidth="1"/>
    <col min="7" max="7" width="18" style="143" bestFit="1" customWidth="1"/>
    <col min="8" max="18" width="18" style="143" customWidth="1"/>
    <col min="19" max="19" width="14.28515625" style="143" hidden="1" customWidth="1"/>
    <col min="20" max="21" width="0" style="143" hidden="1" customWidth="1"/>
    <col min="22" max="22" width="27.5703125" style="143" hidden="1" customWidth="1"/>
    <col min="23" max="23" width="15.42578125" style="143" hidden="1" customWidth="1"/>
    <col min="24" max="24" width="17" style="143" hidden="1" customWidth="1"/>
    <col min="25" max="16384" width="9.140625" style="143"/>
  </cols>
  <sheetData>
    <row r="1" spans="2:24" x14ac:dyDescent="0.25">
      <c r="B1" s="139" t="s">
        <v>191</v>
      </c>
      <c r="C1" s="140" t="s">
        <v>192</v>
      </c>
    </row>
    <row r="2" spans="2:24" x14ac:dyDescent="0.25">
      <c r="B2" s="139" t="s">
        <v>193</v>
      </c>
      <c r="C2" s="140" t="s">
        <v>206</v>
      </c>
    </row>
    <row r="3" spans="2:24" x14ac:dyDescent="0.25">
      <c r="B3" s="139" t="s">
        <v>194</v>
      </c>
      <c r="C3" s="144">
        <v>7.5</v>
      </c>
      <c r="D3" s="145">
        <v>326700</v>
      </c>
      <c r="E3" s="146" t="s">
        <v>90</v>
      </c>
    </row>
    <row r="4" spans="2:24" x14ac:dyDescent="0.25">
      <c r="B4" s="139" t="s">
        <v>195</v>
      </c>
      <c r="C4" s="147">
        <v>1</v>
      </c>
    </row>
    <row r="5" spans="2:24" x14ac:dyDescent="0.25">
      <c r="B5" s="148" t="s">
        <v>196</v>
      </c>
      <c r="C5" s="148" t="s">
        <v>197</v>
      </c>
      <c r="D5" s="149" t="s">
        <v>198</v>
      </c>
      <c r="E5" s="149" t="s">
        <v>199</v>
      </c>
      <c r="F5" s="150" t="s">
        <v>200</v>
      </c>
    </row>
    <row r="6" spans="2:24" x14ac:dyDescent="0.25">
      <c r="B6" s="151">
        <v>1</v>
      </c>
      <c r="C6" s="152" t="s">
        <v>11</v>
      </c>
      <c r="D6" s="153">
        <f>_xlfn.XLOOKUP(C6,'Boq Park'!B2:B114,'Boq Park'!H2:H114,0)</f>
        <v>925005.98009649396</v>
      </c>
      <c r="E6" s="153">
        <f t="shared" ref="E6:E12" si="0">D6/$C$4</f>
        <v>925005.98009649396</v>
      </c>
      <c r="F6" s="154">
        <f t="shared" ref="F6:F12" si="1">D6/$D$3</f>
        <v>2.8313620449846768</v>
      </c>
    </row>
    <row r="7" spans="2:24" s="156" customFormat="1" x14ac:dyDescent="0.25">
      <c r="B7" s="151">
        <v>2</v>
      </c>
      <c r="C7" s="155" t="s">
        <v>201</v>
      </c>
      <c r="D7" s="153">
        <f>_xlfn.XLOOKUP(C7,'Boq Park'!B3:B115,'Boq Park'!H3:H115,0)</f>
        <v>42919.358449074069</v>
      </c>
      <c r="E7" s="153">
        <f t="shared" si="0"/>
        <v>42919.358449074069</v>
      </c>
      <c r="F7" s="154">
        <f t="shared" si="1"/>
        <v>0.13137238582514255</v>
      </c>
      <c r="G7" s="156" t="s">
        <v>202</v>
      </c>
      <c r="S7" s="156">
        <v>961386.35000000009</v>
      </c>
      <c r="T7" s="156">
        <f>S7*30%</f>
        <v>288415.90500000003</v>
      </c>
      <c r="V7" s="138" t="s">
        <v>17</v>
      </c>
      <c r="W7" s="157">
        <f>S7-T7</f>
        <v>672970.44500000007</v>
      </c>
      <c r="X7" s="157">
        <v>639039.16205882363</v>
      </c>
    </row>
    <row r="8" spans="2:24" s="156" customFormat="1" x14ac:dyDescent="0.25">
      <c r="B8" s="151">
        <f t="shared" ref="B8:B13" si="2">B7+1</f>
        <v>3</v>
      </c>
      <c r="C8" s="155" t="s">
        <v>21</v>
      </c>
      <c r="D8" s="153">
        <f>_xlfn.XLOOKUP(C8,'Boq Park'!B4:B116,'Boq Park'!H4:H116,0)</f>
        <v>167650.49594999998</v>
      </c>
      <c r="E8" s="153">
        <f t="shared" si="0"/>
        <v>167650.49594999998</v>
      </c>
      <c r="F8" s="154">
        <f t="shared" si="1"/>
        <v>0.51316344031221295</v>
      </c>
      <c r="S8" s="156">
        <v>912383.99774999998</v>
      </c>
      <c r="T8" s="156">
        <f>S8*30%</f>
        <v>273715.19932499999</v>
      </c>
      <c r="V8" s="138" t="s">
        <v>201</v>
      </c>
      <c r="W8" s="157">
        <f>S8-T8</f>
        <v>638668.79842499993</v>
      </c>
      <c r="X8" s="157">
        <v>606467.01026911766</v>
      </c>
    </row>
    <row r="9" spans="2:24" s="156" customFormat="1" x14ac:dyDescent="0.25">
      <c r="B9" s="151">
        <f t="shared" si="2"/>
        <v>4</v>
      </c>
      <c r="C9" s="155" t="s">
        <v>207</v>
      </c>
      <c r="D9" s="153">
        <f>_xlfn.XLOOKUP(C9,'Boq Park'!B5:B117,'Boq Park'!H5:H117,0)</f>
        <v>839959.68348643032</v>
      </c>
      <c r="E9" s="153">
        <f>D9/$C$4</f>
        <v>839959.68348643032</v>
      </c>
      <c r="F9" s="154">
        <f>D9/$D$3</f>
        <v>2.5710428022235394</v>
      </c>
      <c r="S9" s="156">
        <v>912383.99774999998</v>
      </c>
      <c r="T9" s="156">
        <f>S9*30%</f>
        <v>273715.19932499999</v>
      </c>
      <c r="V9" s="138" t="s">
        <v>201</v>
      </c>
      <c r="W9" s="157">
        <f>S9-T9</f>
        <v>638668.79842499993</v>
      </c>
      <c r="X9" s="157">
        <v>606467.01026911766</v>
      </c>
    </row>
    <row r="10" spans="2:24" s="156" customFormat="1" x14ac:dyDescent="0.25">
      <c r="B10" s="151">
        <f t="shared" si="2"/>
        <v>5</v>
      </c>
      <c r="C10" s="155" t="s">
        <v>203</v>
      </c>
      <c r="D10" s="153">
        <f>_xlfn.XLOOKUP(C10,'Boq Park'!B5:B117,'Boq Park'!H5:H117,0)</f>
        <v>82478.036790057216</v>
      </c>
      <c r="E10" s="153">
        <f t="shared" si="0"/>
        <v>82478.036790057216</v>
      </c>
      <c r="F10" s="154">
        <f t="shared" si="1"/>
        <v>0.25245802506904563</v>
      </c>
      <c r="S10" s="156">
        <v>873891.1</v>
      </c>
      <c r="T10" s="156">
        <f>S10*30%</f>
        <v>262167.32999999996</v>
      </c>
      <c r="V10" s="138" t="s">
        <v>21</v>
      </c>
      <c r="W10" s="157">
        <f>S10-T10</f>
        <v>611723.77</v>
      </c>
      <c r="X10" s="157">
        <v>580880.55470588233</v>
      </c>
    </row>
    <row r="11" spans="2:24" s="156" customFormat="1" x14ac:dyDescent="0.25">
      <c r="B11" s="151">
        <f t="shared" si="2"/>
        <v>6</v>
      </c>
      <c r="C11" s="155" t="s">
        <v>204</v>
      </c>
      <c r="D11" s="153">
        <f>_xlfn.XLOOKUP(C11,'Boq Park'!B7:B118,'Boq Park'!H7:H118,0)</f>
        <v>8034.48</v>
      </c>
      <c r="E11" s="153">
        <f t="shared" si="0"/>
        <v>8034.48</v>
      </c>
      <c r="F11" s="154">
        <f t="shared" si="1"/>
        <v>2.4592837465564735E-2</v>
      </c>
      <c r="V11" s="136"/>
      <c r="W11" s="158"/>
      <c r="X11" s="158"/>
    </row>
    <row r="12" spans="2:24" s="156" customFormat="1" x14ac:dyDescent="0.25">
      <c r="B12" s="151">
        <f t="shared" si="2"/>
        <v>7</v>
      </c>
      <c r="C12" s="155" t="s">
        <v>75</v>
      </c>
      <c r="D12" s="153">
        <f>_xlfn.XLOOKUP(C12,'Boq Park'!B8:B120,'Boq Park'!H8:H120,0)</f>
        <v>876619.23392999999</v>
      </c>
      <c r="E12" s="153">
        <f t="shared" si="0"/>
        <v>876619.23392999999</v>
      </c>
      <c r="F12" s="154">
        <f t="shared" si="1"/>
        <v>2.6832544656565656</v>
      </c>
    </row>
    <row r="13" spans="2:24" s="156" customFormat="1" x14ac:dyDescent="0.25">
      <c r="B13" s="151">
        <f t="shared" si="2"/>
        <v>8</v>
      </c>
      <c r="C13" s="152" t="s">
        <v>95</v>
      </c>
      <c r="D13" s="153">
        <f>_xlfn.XLOOKUP(C13,'Boq Park'!B8:B123,'Boq Park'!H8:H123,0)</f>
        <v>8800</v>
      </c>
      <c r="E13" s="153">
        <f>D13/$C$4</f>
        <v>8800</v>
      </c>
      <c r="F13" s="154">
        <f>D13/$D$3</f>
        <v>2.6936026936026935E-2</v>
      </c>
    </row>
    <row r="14" spans="2:24" s="156" customFormat="1" x14ac:dyDescent="0.25">
      <c r="B14" s="151"/>
      <c r="C14" s="152"/>
      <c r="D14" s="153"/>
      <c r="E14" s="153"/>
      <c r="F14" s="154"/>
    </row>
    <row r="15" spans="2:24" s="156" customFormat="1" x14ac:dyDescent="0.25">
      <c r="B15" s="159"/>
      <c r="C15" s="160"/>
      <c r="D15" s="161"/>
      <c r="E15" s="161"/>
      <c r="F15" s="162"/>
    </row>
    <row r="16" spans="2:24" s="156" customFormat="1" x14ac:dyDescent="0.25">
      <c r="B16" s="163"/>
      <c r="C16" s="163" t="s">
        <v>205</v>
      </c>
      <c r="D16" s="164">
        <f>SUM(D6:D15)</f>
        <v>2951467.2687020553</v>
      </c>
      <c r="E16" s="164">
        <f>SUM(E6:E15)</f>
        <v>2951467.2687020553</v>
      </c>
      <c r="F16" s="165">
        <f>SUM(F6:F15)</f>
        <v>9.0341820284727739</v>
      </c>
    </row>
    <row r="18" spans="5:5" x14ac:dyDescent="0.25">
      <c r="E18" s="16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8F163-4E91-4392-86A7-453E277A6ECE}">
  <dimension ref="B1:X13"/>
  <sheetViews>
    <sheetView workbookViewId="0">
      <selection activeCell="D6" sqref="D6"/>
    </sheetView>
  </sheetViews>
  <sheetFormatPr defaultColWidth="9.140625" defaultRowHeight="15.75" x14ac:dyDescent="0.25"/>
  <cols>
    <col min="1" max="1" width="4.28515625" style="143" customWidth="1"/>
    <col min="2" max="2" width="20.7109375" style="166" customWidth="1"/>
    <col min="3" max="3" width="38" style="143" customWidth="1"/>
    <col min="4" max="4" width="16.42578125" style="141" customWidth="1"/>
    <col min="5" max="5" width="18.85546875" style="141" customWidth="1"/>
    <col min="6" max="6" width="18.42578125" style="142" customWidth="1"/>
    <col min="7" max="7" width="18" style="143" bestFit="1" customWidth="1"/>
    <col min="8" max="18" width="18" style="143" customWidth="1"/>
    <col min="19" max="19" width="14.28515625" style="143" hidden="1" customWidth="1"/>
    <col min="20" max="21" width="0" style="143" hidden="1" customWidth="1"/>
    <col min="22" max="22" width="27.5703125" style="143" hidden="1" customWidth="1"/>
    <col min="23" max="23" width="15.42578125" style="143" hidden="1" customWidth="1"/>
    <col min="24" max="24" width="17" style="143" hidden="1" customWidth="1"/>
    <col min="25" max="16384" width="9.140625" style="143"/>
  </cols>
  <sheetData>
    <row r="1" spans="2:24" x14ac:dyDescent="0.25">
      <c r="B1" s="139" t="s">
        <v>191</v>
      </c>
      <c r="C1" s="140" t="s">
        <v>192</v>
      </c>
    </row>
    <row r="2" spans="2:24" x14ac:dyDescent="0.25">
      <c r="B2" s="139" t="s">
        <v>193</v>
      </c>
      <c r="C2" s="140" t="s">
        <v>206</v>
      </c>
    </row>
    <row r="3" spans="2:24" x14ac:dyDescent="0.25">
      <c r="B3" s="139" t="s">
        <v>194</v>
      </c>
      <c r="C3" s="144">
        <v>7.5</v>
      </c>
      <c r="D3" s="145">
        <v>326700</v>
      </c>
      <c r="E3" s="146" t="s">
        <v>90</v>
      </c>
    </row>
    <row r="4" spans="2:24" x14ac:dyDescent="0.25">
      <c r="B4" s="139" t="s">
        <v>195</v>
      </c>
      <c r="C4" s="147">
        <v>1</v>
      </c>
    </row>
    <row r="5" spans="2:24" x14ac:dyDescent="0.25">
      <c r="B5" s="148" t="s">
        <v>196</v>
      </c>
      <c r="C5" s="148" t="s">
        <v>682</v>
      </c>
      <c r="D5" s="149" t="s">
        <v>198</v>
      </c>
      <c r="E5" s="149" t="s">
        <v>199</v>
      </c>
      <c r="F5" s="150" t="s">
        <v>200</v>
      </c>
    </row>
    <row r="6" spans="2:24" x14ac:dyDescent="0.25">
      <c r="B6" s="151">
        <v>1</v>
      </c>
      <c r="C6" s="152" t="s">
        <v>683</v>
      </c>
      <c r="D6" s="153">
        <f>'Boq Park'!H115</f>
        <v>2951467.2687020553</v>
      </c>
      <c r="E6" s="153">
        <f t="shared" ref="E6:E8" si="0">D6/$C$4</f>
        <v>2951467.2687020553</v>
      </c>
      <c r="F6" s="154">
        <f t="shared" ref="F6:F8" si="1">D6/$D$3</f>
        <v>9.0341820284727739</v>
      </c>
    </row>
    <row r="7" spans="2:24" s="156" customFormat="1" x14ac:dyDescent="0.25">
      <c r="B7" s="151">
        <v>2</v>
      </c>
      <c r="C7" s="155" t="s">
        <v>684</v>
      </c>
      <c r="D7" s="153">
        <f>'CB BOQ'!K143</f>
        <v>886617.9822701104</v>
      </c>
      <c r="E7" s="153">
        <f t="shared" si="0"/>
        <v>886617.9822701104</v>
      </c>
      <c r="F7" s="154">
        <f t="shared" si="1"/>
        <v>2.7138597559538122</v>
      </c>
      <c r="G7" s="156" t="s">
        <v>202</v>
      </c>
      <c r="S7" s="156">
        <v>961386.35000000009</v>
      </c>
      <c r="T7" s="156">
        <f>S7*30%</f>
        <v>288415.90500000003</v>
      </c>
      <c r="V7" s="138" t="s">
        <v>17</v>
      </c>
      <c r="W7" s="157">
        <f>S7-T7</f>
        <v>672970.44500000007</v>
      </c>
      <c r="X7" s="157">
        <v>639039.16205882363</v>
      </c>
    </row>
    <row r="8" spans="2:24" s="156" customFormat="1" x14ac:dyDescent="0.25">
      <c r="B8" s="151">
        <f t="shared" ref="B8" si="2">B7+1</f>
        <v>3</v>
      </c>
      <c r="C8" s="155" t="s">
        <v>685</v>
      </c>
      <c r="D8" s="153">
        <f>'Rest Room &amp; Electrical Room BOQ'!K143</f>
        <v>203138.80944665422</v>
      </c>
      <c r="E8" s="153">
        <f t="shared" si="0"/>
        <v>203138.80944665422</v>
      </c>
      <c r="F8" s="154">
        <f t="shared" si="1"/>
        <v>0.62179005034176382</v>
      </c>
      <c r="S8" s="156">
        <v>912383.99774999998</v>
      </c>
      <c r="T8" s="156">
        <f>S8*30%</f>
        <v>273715.19932499999</v>
      </c>
      <c r="V8" s="138" t="s">
        <v>201</v>
      </c>
      <c r="W8" s="157">
        <f>S8-T8</f>
        <v>638668.79842499993</v>
      </c>
      <c r="X8" s="157">
        <v>606467.01026911766</v>
      </c>
    </row>
    <row r="9" spans="2:24" s="156" customFormat="1" x14ac:dyDescent="0.25">
      <c r="B9" s="151"/>
      <c r="C9" s="152"/>
      <c r="D9" s="153"/>
      <c r="E9" s="153"/>
      <c r="F9" s="154"/>
    </row>
    <row r="10" spans="2:24" s="156" customFormat="1" x14ac:dyDescent="0.25">
      <c r="B10" s="159"/>
      <c r="C10" s="160"/>
      <c r="D10" s="161"/>
      <c r="E10" s="161"/>
      <c r="F10" s="162"/>
    </row>
    <row r="11" spans="2:24" s="156" customFormat="1" x14ac:dyDescent="0.25">
      <c r="B11" s="163"/>
      <c r="C11" s="163" t="s">
        <v>205</v>
      </c>
      <c r="D11" s="164">
        <f>SUM(D6:D10)</f>
        <v>4041224.06041882</v>
      </c>
      <c r="E11" s="164">
        <f>SUM(E6:E10)</f>
        <v>4041224.06041882</v>
      </c>
      <c r="F11" s="165">
        <f>SUM(F6:F10)</f>
        <v>12.36983183476835</v>
      </c>
    </row>
    <row r="13" spans="2:24" x14ac:dyDescent="0.25">
      <c r="E13" s="16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5"/>
  <sheetViews>
    <sheetView zoomScaleNormal="100" workbookViewId="0">
      <selection activeCell="H115" sqref="H115"/>
    </sheetView>
  </sheetViews>
  <sheetFormatPr defaultColWidth="9.140625" defaultRowHeight="15" outlineLevelRow="1" x14ac:dyDescent="0.25"/>
  <cols>
    <col min="1" max="1" width="9.140625" style="85"/>
    <col min="2" max="2" width="83" style="5" customWidth="1"/>
    <col min="3" max="3" width="10.7109375" style="85" customWidth="1"/>
    <col min="4" max="6" width="15.7109375" style="75" customWidth="1"/>
    <col min="7" max="7" width="14.42578125" style="75" customWidth="1"/>
    <col min="8" max="8" width="20.7109375" style="86" bestFit="1" customWidth="1"/>
    <col min="9" max="9" width="10.140625" style="75" bestFit="1" customWidth="1"/>
    <col min="10" max="10" width="33.140625" style="82" customWidth="1"/>
    <col min="11" max="11" width="15.7109375" style="75" hidden="1" customWidth="1"/>
    <col min="12" max="12" width="28" style="5" hidden="1" customWidth="1"/>
    <col min="13" max="13" width="14.28515625" style="5" hidden="1" customWidth="1"/>
    <col min="14" max="14" width="0" style="5" hidden="1" customWidth="1"/>
    <col min="15" max="16384" width="9.140625" style="5"/>
  </cols>
  <sheetData>
    <row r="1" spans="1:11" ht="29.1" customHeight="1" x14ac:dyDescent="0.25">
      <c r="A1" s="401" t="s">
        <v>0</v>
      </c>
      <c r="B1" s="402" t="s">
        <v>1</v>
      </c>
      <c r="C1" s="402" t="s">
        <v>2</v>
      </c>
      <c r="D1" s="403" t="s">
        <v>3</v>
      </c>
      <c r="E1" s="403" t="s">
        <v>569</v>
      </c>
      <c r="F1" s="403"/>
      <c r="G1" s="403" t="s">
        <v>4</v>
      </c>
      <c r="H1" s="404" t="s">
        <v>5</v>
      </c>
      <c r="I1" s="403" t="s">
        <v>6</v>
      </c>
      <c r="J1" s="405" t="s">
        <v>7</v>
      </c>
      <c r="K1" s="4" t="s">
        <v>8</v>
      </c>
    </row>
    <row r="2" spans="1:11" s="11" customFormat="1" ht="15" customHeight="1" x14ac:dyDescent="0.25">
      <c r="A2" s="406">
        <v>1</v>
      </c>
      <c r="B2" s="7" t="s">
        <v>11</v>
      </c>
      <c r="C2" s="24"/>
      <c r="D2" s="25"/>
      <c r="E2" s="25"/>
      <c r="F2" s="25"/>
      <c r="G2" s="25"/>
      <c r="H2" s="26">
        <f>SUM(H3:H7)</f>
        <v>925005.98009649396</v>
      </c>
      <c r="I2" s="9"/>
      <c r="J2" s="407"/>
    </row>
    <row r="3" spans="1:11" s="11" customFormat="1" ht="63.75" customHeight="1" outlineLevel="1" x14ac:dyDescent="0.25">
      <c r="A3" s="408">
        <v>1.1000000000000001</v>
      </c>
      <c r="B3" s="28" t="s">
        <v>12</v>
      </c>
      <c r="C3" s="12"/>
      <c r="D3" s="13"/>
      <c r="E3" s="13"/>
      <c r="F3" s="13"/>
      <c r="G3" s="13"/>
      <c r="H3" s="14"/>
      <c r="I3" s="13"/>
      <c r="J3" s="409"/>
    </row>
    <row r="4" spans="1:11" s="11" customFormat="1" ht="15" customHeight="1" outlineLevel="1" x14ac:dyDescent="0.25">
      <c r="A4" s="410"/>
      <c r="B4" s="30" t="s">
        <v>13</v>
      </c>
      <c r="C4" s="29"/>
      <c r="D4" s="31"/>
      <c r="E4" s="31"/>
      <c r="F4" s="31"/>
      <c r="G4" s="31"/>
      <c r="H4" s="32"/>
      <c r="I4" s="31"/>
      <c r="J4" s="411"/>
    </row>
    <row r="5" spans="1:11" s="11" customFormat="1" ht="15" customHeight="1" outlineLevel="1" x14ac:dyDescent="0.25">
      <c r="A5" s="410"/>
      <c r="B5" s="34" t="s">
        <v>701</v>
      </c>
      <c r="C5" s="29" t="s">
        <v>9</v>
      </c>
      <c r="D5" s="31">
        <f>'Drainage System'!G40+'Parking lot'!J3</f>
        <v>8566.0025333333342</v>
      </c>
      <c r="E5" s="31">
        <f>0.15</f>
        <v>0.15</v>
      </c>
      <c r="F5" s="31">
        <f>D5+(D5*E5)</f>
        <v>9850.9029133333352</v>
      </c>
      <c r="G5" s="31">
        <v>30</v>
      </c>
      <c r="H5" s="18">
        <f>G5*F5</f>
        <v>295527.08740000008</v>
      </c>
      <c r="I5" s="31"/>
      <c r="J5" s="411"/>
    </row>
    <row r="6" spans="1:11" s="11" customFormat="1" ht="15" customHeight="1" outlineLevel="1" x14ac:dyDescent="0.25">
      <c r="A6" s="410"/>
      <c r="B6" s="34" t="s">
        <v>702</v>
      </c>
      <c r="C6" s="29" t="s">
        <v>9</v>
      </c>
      <c r="D6" s="31">
        <f>'Parking lot'!J23</f>
        <v>16099.204416790126</v>
      </c>
      <c r="E6" s="31">
        <f>0.15</f>
        <v>0.15</v>
      </c>
      <c r="F6" s="31">
        <f>D6+(D6*E6)</f>
        <v>18514.085079308643</v>
      </c>
      <c r="G6" s="31">
        <v>34</v>
      </c>
      <c r="H6" s="18">
        <f>G6*F6</f>
        <v>629478.89269649389</v>
      </c>
      <c r="I6" s="31"/>
      <c r="J6" s="411"/>
    </row>
    <row r="7" spans="1:11" s="11" customFormat="1" ht="15" customHeight="1" x14ac:dyDescent="0.25">
      <c r="A7" s="412"/>
      <c r="B7" s="38"/>
      <c r="C7" s="20"/>
      <c r="D7" s="21"/>
      <c r="E7" s="21"/>
      <c r="F7" s="21"/>
      <c r="G7" s="21"/>
      <c r="H7" s="22"/>
      <c r="I7" s="21"/>
      <c r="J7" s="413"/>
    </row>
    <row r="8" spans="1:11" s="11" customFormat="1" ht="15.75" customHeight="1" x14ac:dyDescent="0.25">
      <c r="A8" s="406">
        <v>2</v>
      </c>
      <c r="B8" s="7" t="s">
        <v>21</v>
      </c>
      <c r="C8" s="6"/>
      <c r="D8" s="8"/>
      <c r="E8" s="8"/>
      <c r="F8" s="8"/>
      <c r="G8" s="8"/>
      <c r="H8" s="26">
        <f>SUM(H9:H19)</f>
        <v>167650.49594999998</v>
      </c>
      <c r="I8" s="8"/>
      <c r="J8" s="414"/>
      <c r="K8" s="10"/>
    </row>
    <row r="9" spans="1:11" s="11" customFormat="1" ht="80.25" customHeight="1" outlineLevel="1" x14ac:dyDescent="0.25">
      <c r="A9" s="408"/>
      <c r="B9" s="28" t="s">
        <v>22</v>
      </c>
      <c r="C9" s="12"/>
      <c r="D9" s="45"/>
      <c r="E9" s="45"/>
      <c r="F9" s="45"/>
      <c r="G9" s="45"/>
      <c r="H9" s="46"/>
      <c r="I9" s="45"/>
      <c r="J9" s="415"/>
      <c r="K9" s="47"/>
    </row>
    <row r="10" spans="1:11" s="11" customFormat="1" ht="15" customHeight="1" outlineLevel="1" x14ac:dyDescent="0.25">
      <c r="A10" s="410"/>
      <c r="B10" s="34" t="s">
        <v>15</v>
      </c>
      <c r="C10" s="29" t="s">
        <v>9</v>
      </c>
      <c r="D10" s="31">
        <f>'Drainage System'!G2</f>
        <v>507.5</v>
      </c>
      <c r="E10" s="31"/>
      <c r="F10" s="31"/>
      <c r="G10" s="31">
        <v>6.51</v>
      </c>
      <c r="H10" s="18">
        <f>G10*D10</f>
        <v>3303.8249999999998</v>
      </c>
      <c r="I10" s="31"/>
      <c r="J10" s="411"/>
    </row>
    <row r="11" spans="1:11" s="11" customFormat="1" ht="15" customHeight="1" x14ac:dyDescent="0.25">
      <c r="A11" s="416"/>
      <c r="B11" s="35" t="s">
        <v>16</v>
      </c>
      <c r="C11" s="16" t="s">
        <v>9</v>
      </c>
      <c r="D11" s="17">
        <f>'Drainage System'!H2</f>
        <v>609</v>
      </c>
      <c r="E11" s="17"/>
      <c r="F11" s="17"/>
      <c r="G11" s="17">
        <v>33.25</v>
      </c>
      <c r="H11" s="18">
        <f>G11*D11</f>
        <v>20249.25</v>
      </c>
      <c r="I11" s="17"/>
      <c r="J11" s="417"/>
    </row>
    <row r="12" spans="1:11" s="11" customFormat="1" ht="14.25" customHeight="1" outlineLevel="1" x14ac:dyDescent="0.25">
      <c r="A12" s="416"/>
      <c r="B12" s="48" t="s">
        <v>23</v>
      </c>
      <c r="C12" s="49"/>
      <c r="D12" s="36"/>
      <c r="E12" s="36"/>
      <c r="F12" s="36"/>
      <c r="G12" s="36"/>
      <c r="H12" s="37"/>
      <c r="I12" s="36"/>
      <c r="J12" s="418"/>
      <c r="K12" s="47"/>
    </row>
    <row r="13" spans="1:11" s="11" customFormat="1" ht="53.25" customHeight="1" outlineLevel="1" x14ac:dyDescent="0.25">
      <c r="A13" s="416"/>
      <c r="B13" s="50" t="s">
        <v>24</v>
      </c>
      <c r="C13" s="16" t="s">
        <v>18</v>
      </c>
      <c r="D13" s="36">
        <f>'Drainage System'!J26</f>
        <v>748</v>
      </c>
      <c r="E13" s="36"/>
      <c r="F13" s="36"/>
      <c r="G13" s="36">
        <v>120</v>
      </c>
      <c r="H13" s="18">
        <f>D13*G13</f>
        <v>89760</v>
      </c>
      <c r="I13" s="17"/>
      <c r="J13" s="418"/>
      <c r="K13" s="47"/>
    </row>
    <row r="14" spans="1:11" s="11" customFormat="1" outlineLevel="1" x14ac:dyDescent="0.25">
      <c r="A14" s="416"/>
      <c r="B14" s="50" t="s">
        <v>25</v>
      </c>
      <c r="C14" s="16" t="s">
        <v>18</v>
      </c>
      <c r="D14" s="36">
        <f>'Drainage System'!O26</f>
        <v>108</v>
      </c>
      <c r="E14" s="36"/>
      <c r="F14" s="36"/>
      <c r="G14" s="36">
        <v>92.908000000000001</v>
      </c>
      <c r="H14" s="18">
        <f>D14*G14</f>
        <v>10034.064</v>
      </c>
      <c r="I14" s="17"/>
      <c r="J14" s="418"/>
      <c r="K14" s="47"/>
    </row>
    <row r="15" spans="1:11" s="11" customFormat="1" outlineLevel="1" x14ac:dyDescent="0.25">
      <c r="A15" s="416"/>
      <c r="B15" s="51" t="s">
        <v>26</v>
      </c>
      <c r="C15" s="16" t="s">
        <v>27</v>
      </c>
      <c r="D15" s="36">
        <f>'Drainage System'!H20</f>
        <v>8</v>
      </c>
      <c r="E15" s="36"/>
      <c r="F15" s="36"/>
      <c r="G15" s="36">
        <v>2531</v>
      </c>
      <c r="H15" s="18">
        <f>D15*G15</f>
        <v>20248</v>
      </c>
      <c r="I15" s="17"/>
      <c r="J15" s="418"/>
      <c r="K15" s="47"/>
    </row>
    <row r="16" spans="1:11" s="11" customFormat="1" outlineLevel="1" x14ac:dyDescent="0.25">
      <c r="A16" s="416"/>
      <c r="B16" s="50" t="s">
        <v>28</v>
      </c>
      <c r="C16" s="16" t="s">
        <v>27</v>
      </c>
      <c r="D16" s="36">
        <f>D15</f>
        <v>8</v>
      </c>
      <c r="E16" s="36"/>
      <c r="F16" s="36"/>
      <c r="G16" s="36">
        <v>160</v>
      </c>
      <c r="H16" s="18">
        <f>D16*G16</f>
        <v>1280</v>
      </c>
      <c r="I16" s="17"/>
      <c r="J16" s="418"/>
      <c r="K16" s="47"/>
    </row>
    <row r="17" spans="1:11" s="11" customFormat="1" outlineLevel="1" x14ac:dyDescent="0.25">
      <c r="A17" s="416"/>
      <c r="B17" s="50" t="s">
        <v>29</v>
      </c>
      <c r="C17" s="16" t="s">
        <v>27</v>
      </c>
      <c r="D17" s="36">
        <f>D16</f>
        <v>8</v>
      </c>
      <c r="E17" s="36"/>
      <c r="F17" s="36"/>
      <c r="G17" s="36">
        <v>1849</v>
      </c>
      <c r="H17" s="18">
        <f>D17*G17</f>
        <v>14792</v>
      </c>
      <c r="I17" s="17"/>
      <c r="J17" s="418"/>
      <c r="K17" s="47"/>
    </row>
    <row r="18" spans="1:11" s="11" customFormat="1" outlineLevel="1" x14ac:dyDescent="0.2">
      <c r="A18" s="419"/>
      <c r="B18" s="43" t="s">
        <v>20</v>
      </c>
      <c r="C18" s="16"/>
      <c r="D18" s="17"/>
      <c r="E18" s="17"/>
      <c r="F18" s="17"/>
      <c r="G18" s="17"/>
      <c r="H18" s="18">
        <f>SUM(H9:H17)*5%</f>
        <v>7983.3569500000003</v>
      </c>
      <c r="I18" s="44"/>
      <c r="J18" s="420"/>
      <c r="K18" s="39"/>
    </row>
    <row r="19" spans="1:11" s="11" customFormat="1" outlineLevel="1" x14ac:dyDescent="0.25">
      <c r="A19" s="412"/>
      <c r="B19" s="52"/>
      <c r="C19" s="20"/>
      <c r="D19" s="21"/>
      <c r="E19" s="21"/>
      <c r="F19" s="21"/>
      <c r="G19" s="21"/>
      <c r="H19" s="22"/>
      <c r="I19" s="21"/>
      <c r="J19" s="421"/>
      <c r="K19" s="39"/>
    </row>
    <row r="20" spans="1:11" s="11" customFormat="1" ht="15" customHeight="1" x14ac:dyDescent="0.25">
      <c r="A20" s="406">
        <v>3</v>
      </c>
      <c r="B20" s="7" t="s">
        <v>201</v>
      </c>
      <c r="C20" s="24"/>
      <c r="D20" s="25"/>
      <c r="E20" s="25"/>
      <c r="F20" s="25"/>
      <c r="G20" s="25"/>
      <c r="H20" s="26">
        <f>SUM(H21:H31)</f>
        <v>42919.358449074069</v>
      </c>
      <c r="I20" s="25"/>
      <c r="J20" s="414"/>
      <c r="K20" s="53"/>
    </row>
    <row r="21" spans="1:11" s="11" customFormat="1" ht="75" outlineLevel="1" x14ac:dyDescent="0.25">
      <c r="A21" s="408"/>
      <c r="B21" s="28" t="s">
        <v>22</v>
      </c>
      <c r="C21" s="12"/>
      <c r="D21" s="13"/>
      <c r="E21" s="13"/>
      <c r="F21" s="13"/>
      <c r="G21" s="13"/>
      <c r="H21" s="14">
        <f>G21*D21</f>
        <v>0</v>
      </c>
      <c r="I21" s="13"/>
      <c r="J21" s="415"/>
      <c r="K21" s="39"/>
    </row>
    <row r="22" spans="1:11" s="11" customFormat="1" ht="15" customHeight="1" outlineLevel="1" x14ac:dyDescent="0.25">
      <c r="A22" s="410"/>
      <c r="B22" s="34" t="s">
        <v>14</v>
      </c>
      <c r="C22" s="29" t="s">
        <v>9</v>
      </c>
      <c r="D22" s="31">
        <f>'Sewer system'!I6</f>
        <v>107.81080246913579</v>
      </c>
      <c r="E22" s="31"/>
      <c r="F22" s="31"/>
      <c r="G22" s="31">
        <v>6.51</v>
      </c>
      <c r="H22" s="18">
        <f>G22*D22</f>
        <v>701.84832407407396</v>
      </c>
      <c r="I22" s="31"/>
      <c r="J22" s="411"/>
    </row>
    <row r="23" spans="1:11" s="11" customFormat="1" outlineLevel="1" x14ac:dyDescent="0.25">
      <c r="A23" s="416"/>
      <c r="B23" s="54" t="s">
        <v>31</v>
      </c>
      <c r="C23" s="16" t="s">
        <v>30</v>
      </c>
      <c r="D23" s="17">
        <f>'Sewer system'!G6</f>
        <v>579</v>
      </c>
      <c r="E23" s="17"/>
      <c r="F23" s="17"/>
      <c r="G23" s="17">
        <v>53.397500000000001</v>
      </c>
      <c r="H23" s="18">
        <f>D23*G23</f>
        <v>30917.1525</v>
      </c>
      <c r="I23" s="17"/>
      <c r="J23" s="418"/>
      <c r="K23" s="39"/>
    </row>
    <row r="24" spans="1:11" s="124" customFormat="1" outlineLevel="1" x14ac:dyDescent="0.25">
      <c r="A24" s="422"/>
      <c r="B24" s="123" t="s">
        <v>152</v>
      </c>
      <c r="C24" s="40" t="s">
        <v>30</v>
      </c>
      <c r="D24" s="41">
        <f>'Sewer system'!G15</f>
        <v>118</v>
      </c>
      <c r="E24" s="41"/>
      <c r="F24" s="41"/>
      <c r="G24" s="41">
        <v>73</v>
      </c>
      <c r="H24" s="42">
        <f>D24*G24</f>
        <v>8614</v>
      </c>
      <c r="I24" s="41"/>
      <c r="J24" s="423" t="s">
        <v>153</v>
      </c>
      <c r="K24" s="400"/>
    </row>
    <row r="25" spans="1:11" s="11" customFormat="1" outlineLevel="1" x14ac:dyDescent="0.25">
      <c r="A25" s="416"/>
      <c r="B25" s="54" t="s">
        <v>32</v>
      </c>
      <c r="C25" s="16" t="s">
        <v>19</v>
      </c>
      <c r="D25" s="17">
        <v>10</v>
      </c>
      <c r="E25" s="17"/>
      <c r="F25" s="17"/>
      <c r="G25" s="17">
        <v>67.599999999999994</v>
      </c>
      <c r="H25" s="18">
        <f>D25*G25</f>
        <v>676</v>
      </c>
      <c r="I25" s="17"/>
      <c r="J25" s="418"/>
      <c r="K25" s="39"/>
    </row>
    <row r="26" spans="1:11" s="11" customFormat="1" ht="92.25" customHeight="1" outlineLevel="1" x14ac:dyDescent="0.25">
      <c r="A26" s="416"/>
      <c r="B26" s="54" t="s">
        <v>33</v>
      </c>
      <c r="C26" s="16"/>
      <c r="D26" s="17"/>
      <c r="E26" s="17"/>
      <c r="F26" s="17"/>
      <c r="G26" s="17"/>
      <c r="H26" s="18"/>
      <c r="I26" s="17"/>
      <c r="J26" s="418"/>
      <c r="K26" s="39"/>
    </row>
    <row r="27" spans="1:11" s="11" customFormat="1" outlineLevel="1" x14ac:dyDescent="0.25">
      <c r="A27" s="416"/>
      <c r="B27" s="54" t="s">
        <v>34</v>
      </c>
      <c r="C27" s="16" t="s">
        <v>19</v>
      </c>
      <c r="D27" s="17"/>
      <c r="E27" s="17"/>
      <c r="F27" s="17"/>
      <c r="G27" s="17">
        <v>5850</v>
      </c>
      <c r="H27" s="18">
        <f>D27*G27</f>
        <v>0</v>
      </c>
      <c r="I27" s="17"/>
      <c r="J27" s="418"/>
      <c r="K27" s="39"/>
    </row>
    <row r="28" spans="1:11" s="11" customFormat="1" outlineLevel="1" x14ac:dyDescent="0.25">
      <c r="A28" s="416"/>
      <c r="B28" s="54" t="s">
        <v>35</v>
      </c>
      <c r="C28" s="16" t="s">
        <v>19</v>
      </c>
      <c r="D28" s="17"/>
      <c r="E28" s="17"/>
      <c r="F28" s="17"/>
      <c r="G28" s="17">
        <v>3383.38</v>
      </c>
      <c r="H28" s="18">
        <f>D28*G28</f>
        <v>0</v>
      </c>
      <c r="I28" s="17"/>
      <c r="J28" s="418"/>
      <c r="K28" s="39"/>
    </row>
    <row r="29" spans="1:11" s="11" customFormat="1" outlineLevel="1" x14ac:dyDescent="0.25">
      <c r="A29" s="416"/>
      <c r="B29" s="54" t="s">
        <v>36</v>
      </c>
      <c r="C29" s="16" t="s">
        <v>19</v>
      </c>
      <c r="D29" s="17"/>
      <c r="E29" s="17"/>
      <c r="F29" s="17"/>
      <c r="G29" s="17">
        <v>2840.8900000000003</v>
      </c>
      <c r="H29" s="18">
        <f>D29*G29</f>
        <v>0</v>
      </c>
      <c r="I29" s="17"/>
      <c r="J29" s="418"/>
      <c r="K29" s="39"/>
    </row>
    <row r="30" spans="1:11" s="11" customFormat="1" outlineLevel="1" x14ac:dyDescent="0.2">
      <c r="A30" s="419"/>
      <c r="B30" s="43" t="s">
        <v>20</v>
      </c>
      <c r="C30" s="16"/>
      <c r="D30" s="17"/>
      <c r="E30" s="17"/>
      <c r="F30" s="17"/>
      <c r="G30" s="17"/>
      <c r="H30" s="18">
        <f>SUM(H23:H29)*5%</f>
        <v>2010.3576249999999</v>
      </c>
      <c r="I30" s="44"/>
      <c r="J30" s="420"/>
      <c r="K30" s="39"/>
    </row>
    <row r="31" spans="1:11" s="11" customFormat="1" x14ac:dyDescent="0.25">
      <c r="A31" s="412"/>
      <c r="B31" s="52"/>
      <c r="C31" s="20"/>
      <c r="D31" s="21"/>
      <c r="E31" s="21"/>
      <c r="F31" s="21"/>
      <c r="G31" s="21"/>
      <c r="H31" s="22"/>
      <c r="I31" s="21"/>
      <c r="J31" s="421"/>
      <c r="K31" s="39"/>
    </row>
    <row r="32" spans="1:11" s="11" customFormat="1" ht="15" customHeight="1" x14ac:dyDescent="0.25">
      <c r="A32" s="406">
        <v>4</v>
      </c>
      <c r="B32" s="7" t="s">
        <v>37</v>
      </c>
      <c r="C32" s="24"/>
      <c r="D32" s="25"/>
      <c r="E32" s="25"/>
      <c r="F32" s="25"/>
      <c r="G32" s="25"/>
      <c r="H32" s="26">
        <f>SUM(H33:H45)</f>
        <v>839959.68348643032</v>
      </c>
      <c r="I32" s="25"/>
      <c r="J32" s="414"/>
      <c r="K32" s="53"/>
    </row>
    <row r="33" spans="1:11" s="11" customFormat="1" ht="15" customHeight="1" outlineLevel="1" x14ac:dyDescent="0.25">
      <c r="A33" s="408"/>
      <c r="B33" s="55" t="s">
        <v>38</v>
      </c>
      <c r="C33" s="56"/>
      <c r="D33" s="13"/>
      <c r="E33" s="13"/>
      <c r="F33" s="13"/>
      <c r="G33" s="13"/>
      <c r="H33" s="14"/>
      <c r="I33" s="13"/>
      <c r="J33" s="415"/>
      <c r="K33" s="39"/>
    </row>
    <row r="34" spans="1:11" s="11" customFormat="1" ht="90" customHeight="1" outlineLevel="1" x14ac:dyDescent="0.25">
      <c r="A34" s="416"/>
      <c r="B34" s="57" t="s">
        <v>39</v>
      </c>
      <c r="C34" s="16"/>
      <c r="D34" s="58"/>
      <c r="E34" s="58"/>
      <c r="F34" s="58"/>
      <c r="G34" s="36"/>
      <c r="H34" s="18"/>
      <c r="I34" s="17"/>
      <c r="J34" s="418"/>
      <c r="K34" s="70"/>
    </row>
    <row r="35" spans="1:11" s="11" customFormat="1" ht="15" customHeight="1" outlineLevel="1" x14ac:dyDescent="0.25">
      <c r="A35" s="416"/>
      <c r="B35" s="50" t="s">
        <v>40</v>
      </c>
      <c r="C35" s="16" t="s">
        <v>9</v>
      </c>
      <c r="D35" s="59">
        <f>'Parking lot'!J97/27</f>
        <v>1067.0740740740741</v>
      </c>
      <c r="E35" s="59"/>
      <c r="F35" s="59"/>
      <c r="G35" s="36">
        <v>32.22802734375</v>
      </c>
      <c r="H35" s="18">
        <f>D35*G35</f>
        <v>34389.692437065976</v>
      </c>
      <c r="I35" s="17"/>
      <c r="J35" s="418"/>
      <c r="K35" s="70"/>
    </row>
    <row r="36" spans="1:11" s="11" customFormat="1" ht="15" customHeight="1" outlineLevel="1" x14ac:dyDescent="0.25">
      <c r="A36" s="416"/>
      <c r="B36" s="50" t="s">
        <v>41</v>
      </c>
      <c r="C36" s="16" t="s">
        <v>9</v>
      </c>
      <c r="D36" s="59">
        <f>(D35*0.67/27)</f>
        <v>26.479245541838139</v>
      </c>
      <c r="E36" s="59"/>
      <c r="F36" s="59"/>
      <c r="G36" s="36">
        <f>G35</f>
        <v>32.22802734375</v>
      </c>
      <c r="H36" s="18">
        <f>D36*G36</f>
        <v>853.37384936422984</v>
      </c>
      <c r="I36" s="17"/>
      <c r="J36" s="418"/>
      <c r="K36" s="70"/>
    </row>
    <row r="37" spans="1:11" s="11" customFormat="1" ht="15" customHeight="1" outlineLevel="1" x14ac:dyDescent="0.25">
      <c r="A37" s="416"/>
      <c r="B37" s="50" t="s">
        <v>42</v>
      </c>
      <c r="C37" s="16" t="s">
        <v>43</v>
      </c>
      <c r="D37" s="59">
        <f>'Parking lot'!J97</f>
        <v>28811</v>
      </c>
      <c r="E37" s="59"/>
      <c r="F37" s="59"/>
      <c r="G37" s="36">
        <v>27.26</v>
      </c>
      <c r="H37" s="18">
        <f>D37*G37</f>
        <v>785387.8600000001</v>
      </c>
      <c r="I37" s="17"/>
      <c r="J37" s="418"/>
      <c r="K37" s="70"/>
    </row>
    <row r="38" spans="1:11" s="11" customFormat="1" ht="15" customHeight="1" outlineLevel="1" x14ac:dyDescent="0.25">
      <c r="A38" s="416"/>
      <c r="B38" s="50" t="s">
        <v>44</v>
      </c>
      <c r="C38" s="16" t="s">
        <v>18</v>
      </c>
      <c r="D38" s="59"/>
      <c r="E38" s="59"/>
      <c r="F38" s="59"/>
      <c r="G38" s="36"/>
      <c r="H38" s="18">
        <f>D38*G38</f>
        <v>0</v>
      </c>
      <c r="I38" s="17"/>
      <c r="J38" s="418"/>
      <c r="K38" s="70"/>
    </row>
    <row r="39" spans="1:11" s="11" customFormat="1" ht="15" customHeight="1" outlineLevel="1" x14ac:dyDescent="0.25">
      <c r="A39" s="416"/>
      <c r="B39" s="50" t="s">
        <v>45</v>
      </c>
      <c r="C39" s="16"/>
      <c r="D39" s="59"/>
      <c r="E39" s="59"/>
      <c r="F39" s="59"/>
      <c r="G39" s="36"/>
      <c r="H39" s="18"/>
      <c r="I39" s="17"/>
      <c r="J39" s="418"/>
      <c r="K39" s="70"/>
    </row>
    <row r="40" spans="1:11" s="11" customFormat="1" ht="15" customHeight="1" outlineLevel="1" x14ac:dyDescent="0.25">
      <c r="A40" s="424"/>
      <c r="B40" s="60" t="s">
        <v>46</v>
      </c>
      <c r="C40" s="49"/>
      <c r="D40" s="41"/>
      <c r="E40" s="41"/>
      <c r="F40" s="41"/>
      <c r="G40" s="36"/>
      <c r="H40" s="18">
        <f>D40*G40</f>
        <v>0</v>
      </c>
      <c r="I40" s="17"/>
      <c r="J40" s="425"/>
      <c r="K40" s="47"/>
    </row>
    <row r="41" spans="1:11" s="11" customFormat="1" ht="47.25" customHeight="1" outlineLevel="1" x14ac:dyDescent="0.25">
      <c r="A41" s="416"/>
      <c r="B41" s="35" t="s">
        <v>47</v>
      </c>
      <c r="C41" s="16" t="s">
        <v>19</v>
      </c>
      <c r="D41" s="41">
        <f>'Parking lot'!J99</f>
        <v>71</v>
      </c>
      <c r="E41" s="41"/>
      <c r="F41" s="41"/>
      <c r="G41" s="36">
        <v>50</v>
      </c>
      <c r="H41" s="18">
        <f>D41*G41</f>
        <v>3550</v>
      </c>
      <c r="I41" s="17"/>
      <c r="J41" s="418"/>
      <c r="K41" s="47"/>
    </row>
    <row r="42" spans="1:11" s="11" customFormat="1" ht="15" customHeight="1" outlineLevel="1" x14ac:dyDescent="0.25">
      <c r="A42" s="424"/>
      <c r="B42" s="60" t="s">
        <v>48</v>
      </c>
      <c r="C42" s="49"/>
      <c r="D42" s="41"/>
      <c r="E42" s="41"/>
      <c r="F42" s="41"/>
      <c r="G42" s="36"/>
      <c r="H42" s="18">
        <f>D42*G42</f>
        <v>0</v>
      </c>
      <c r="I42" s="17"/>
      <c r="J42" s="425"/>
      <c r="K42" s="47"/>
    </row>
    <row r="43" spans="1:11" s="11" customFormat="1" ht="51" customHeight="1" outlineLevel="1" x14ac:dyDescent="0.25">
      <c r="A43" s="416"/>
      <c r="B43" s="35" t="s">
        <v>49</v>
      </c>
      <c r="C43" s="16" t="s">
        <v>19</v>
      </c>
      <c r="D43" s="41"/>
      <c r="E43" s="41"/>
      <c r="F43" s="41"/>
      <c r="G43" s="36">
        <v>150</v>
      </c>
      <c r="H43" s="18">
        <f>D43*G43</f>
        <v>0</v>
      </c>
      <c r="I43" s="17"/>
      <c r="J43" s="418"/>
      <c r="K43" s="47"/>
    </row>
    <row r="44" spans="1:11" s="11" customFormat="1" outlineLevel="1" x14ac:dyDescent="0.2">
      <c r="A44" s="419"/>
      <c r="B44" s="43" t="s">
        <v>20</v>
      </c>
      <c r="C44" s="16"/>
      <c r="D44" s="17"/>
      <c r="E44" s="17"/>
      <c r="F44" s="17"/>
      <c r="G44" s="17"/>
      <c r="H44" s="18">
        <f>SUM(H37:H43)*2%</f>
        <v>15778.757200000002</v>
      </c>
      <c r="I44" s="44"/>
      <c r="J44" s="420"/>
      <c r="K44" s="39"/>
    </row>
    <row r="45" spans="1:11" s="11" customFormat="1" x14ac:dyDescent="0.25">
      <c r="A45" s="412"/>
      <c r="B45" s="38"/>
      <c r="C45" s="20"/>
      <c r="D45" s="21"/>
      <c r="E45" s="21"/>
      <c r="F45" s="21"/>
      <c r="G45" s="21"/>
      <c r="H45" s="22"/>
      <c r="I45" s="21"/>
      <c r="J45" s="421"/>
      <c r="K45" s="39"/>
    </row>
    <row r="46" spans="1:11" s="11" customFormat="1" ht="15" customHeight="1" x14ac:dyDescent="0.25">
      <c r="A46" s="406">
        <v>5</v>
      </c>
      <c r="B46" s="7" t="s">
        <v>203</v>
      </c>
      <c r="C46" s="6"/>
      <c r="D46" s="8"/>
      <c r="E46" s="8"/>
      <c r="F46" s="8"/>
      <c r="G46" s="8"/>
      <c r="H46" s="26">
        <f>SUM(H47:H54)</f>
        <v>82478.036790057216</v>
      </c>
      <c r="I46" s="8"/>
      <c r="J46" s="414"/>
      <c r="K46" s="10"/>
    </row>
    <row r="47" spans="1:11" s="63" customFormat="1" x14ac:dyDescent="0.25">
      <c r="A47" s="426"/>
      <c r="B47" s="61" t="s">
        <v>50</v>
      </c>
      <c r="C47" s="56"/>
      <c r="D47" s="62"/>
      <c r="E47" s="62"/>
      <c r="F47" s="62"/>
      <c r="G47" s="62"/>
      <c r="H47" s="14">
        <f t="shared" ref="H47:H52" si="0">G47*D47</f>
        <v>0</v>
      </c>
      <c r="I47" s="13"/>
      <c r="J47" s="427"/>
      <c r="K47" s="70"/>
    </row>
    <row r="48" spans="1:11" s="63" customFormat="1" ht="90" x14ac:dyDescent="0.25">
      <c r="A48" s="416"/>
      <c r="B48" s="50" t="s">
        <v>51</v>
      </c>
      <c r="C48" s="16" t="s">
        <v>52</v>
      </c>
      <c r="D48" s="58">
        <f>'Parking lot'!J112</f>
        <v>325.90078888888888</v>
      </c>
      <c r="E48" s="58"/>
      <c r="F48" s="58"/>
      <c r="G48" s="58">
        <v>199.59966666666665</v>
      </c>
      <c r="H48" s="18">
        <f t="shared" si="0"/>
        <v>65049.68882862592</v>
      </c>
      <c r="I48" s="17"/>
      <c r="J48" s="428"/>
      <c r="K48" s="70"/>
    </row>
    <row r="49" spans="1:11" s="63" customFormat="1" ht="75" x14ac:dyDescent="0.25">
      <c r="A49" s="416"/>
      <c r="B49" s="64" t="s">
        <v>53</v>
      </c>
      <c r="C49" s="65" t="s">
        <v>9</v>
      </c>
      <c r="D49" s="66"/>
      <c r="E49" s="66"/>
      <c r="F49" s="66"/>
      <c r="G49" s="58">
        <v>199.59966666666665</v>
      </c>
      <c r="H49" s="67">
        <f t="shared" si="0"/>
        <v>0</v>
      </c>
      <c r="I49" s="17"/>
      <c r="J49" s="428"/>
      <c r="K49" s="70"/>
    </row>
    <row r="50" spans="1:11" s="11" customFormat="1" ht="15" customHeight="1" outlineLevel="1" x14ac:dyDescent="0.25">
      <c r="A50" s="424"/>
      <c r="B50" s="60" t="s">
        <v>54</v>
      </c>
      <c r="C50" s="49"/>
      <c r="D50" s="17"/>
      <c r="E50" s="17"/>
      <c r="F50" s="17"/>
      <c r="G50" s="17"/>
      <c r="H50" s="18">
        <f t="shared" si="0"/>
        <v>0</v>
      </c>
      <c r="I50" s="17"/>
      <c r="J50" s="418"/>
      <c r="K50" s="39"/>
    </row>
    <row r="51" spans="1:11" s="11" customFormat="1" ht="90" outlineLevel="1" x14ac:dyDescent="0.25">
      <c r="A51" s="416"/>
      <c r="B51" s="35" t="s">
        <v>55</v>
      </c>
      <c r="C51" s="16" t="s">
        <v>18</v>
      </c>
      <c r="D51" s="41">
        <f>'Parking lot'!J101</f>
        <v>467.48</v>
      </c>
      <c r="E51" s="41"/>
      <c r="F51" s="41"/>
      <c r="G51" s="17">
        <v>14.44</v>
      </c>
      <c r="H51" s="18">
        <f t="shared" si="0"/>
        <v>6750.4112000000005</v>
      </c>
      <c r="I51" s="17"/>
      <c r="J51" s="418"/>
      <c r="K51" s="39"/>
    </row>
    <row r="52" spans="1:11" s="11" customFormat="1" ht="47.25" customHeight="1" outlineLevel="1" x14ac:dyDescent="0.25">
      <c r="A52" s="416"/>
      <c r="B52" s="35" t="s">
        <v>56</v>
      </c>
      <c r="C52" s="16" t="s">
        <v>18</v>
      </c>
      <c r="D52" s="41">
        <f>D51</f>
        <v>467.48</v>
      </c>
      <c r="E52" s="41"/>
      <c r="F52" s="41"/>
      <c r="G52" s="17">
        <v>14.44</v>
      </c>
      <c r="H52" s="18">
        <f t="shared" si="0"/>
        <v>6750.4112000000005</v>
      </c>
      <c r="I52" s="17"/>
      <c r="J52" s="418"/>
      <c r="K52" s="39"/>
    </row>
    <row r="53" spans="1:11" s="11" customFormat="1" outlineLevel="1" x14ac:dyDescent="0.2">
      <c r="A53" s="419"/>
      <c r="B53" s="43" t="s">
        <v>20</v>
      </c>
      <c r="C53" s="16"/>
      <c r="D53" s="17"/>
      <c r="E53" s="17"/>
      <c r="F53" s="17"/>
      <c r="G53" s="17"/>
      <c r="H53" s="18">
        <f>SUM(H48:H52)*5%</f>
        <v>3927.5255614312964</v>
      </c>
      <c r="I53" s="44"/>
      <c r="J53" s="420"/>
      <c r="K53" s="39"/>
    </row>
    <row r="54" spans="1:11" s="11" customFormat="1" ht="15" customHeight="1" x14ac:dyDescent="0.25">
      <c r="A54" s="412"/>
      <c r="B54" s="23"/>
      <c r="C54" s="20"/>
      <c r="D54" s="21"/>
      <c r="E54" s="21"/>
      <c r="F54" s="21"/>
      <c r="G54" s="21"/>
      <c r="H54" s="22"/>
      <c r="I54" s="21"/>
      <c r="J54" s="421"/>
      <c r="K54" s="39"/>
    </row>
    <row r="55" spans="1:11" s="63" customFormat="1" x14ac:dyDescent="0.25">
      <c r="A55" s="406">
        <v>6</v>
      </c>
      <c r="B55" s="7" t="s">
        <v>57</v>
      </c>
      <c r="C55" s="6"/>
      <c r="D55" s="8"/>
      <c r="E55" s="8"/>
      <c r="F55" s="8"/>
      <c r="G55" s="8"/>
      <c r="H55" s="26">
        <f>SUM(H56:H73)</f>
        <v>8034.48</v>
      </c>
      <c r="I55" s="8"/>
      <c r="J55" s="429"/>
      <c r="K55" s="10"/>
    </row>
    <row r="56" spans="1:11" s="63" customFormat="1" ht="90" x14ac:dyDescent="0.25">
      <c r="A56" s="408"/>
      <c r="B56" s="68" t="s">
        <v>58</v>
      </c>
      <c r="C56" s="12"/>
      <c r="D56" s="62"/>
      <c r="E56" s="62"/>
      <c r="F56" s="62"/>
      <c r="G56" s="62"/>
      <c r="H56" s="69"/>
      <c r="I56" s="62"/>
      <c r="J56" s="427"/>
      <c r="K56" s="70"/>
    </row>
    <row r="57" spans="1:11" s="63" customFormat="1" x14ac:dyDescent="0.25">
      <c r="A57" s="416"/>
      <c r="B57" s="50" t="s">
        <v>59</v>
      </c>
      <c r="C57" s="16" t="s">
        <v>30</v>
      </c>
      <c r="D57" s="58">
        <f>'Parking lot'!J107</f>
        <v>34</v>
      </c>
      <c r="E57" s="58"/>
      <c r="F57" s="58"/>
      <c r="G57" s="58">
        <v>4.08</v>
      </c>
      <c r="H57" s="18">
        <f t="shared" ref="H57:H73" si="1">G57*D57</f>
        <v>138.72</v>
      </c>
      <c r="I57" s="17"/>
      <c r="J57" s="428"/>
      <c r="K57" s="70"/>
    </row>
    <row r="58" spans="1:11" s="63" customFormat="1" x14ac:dyDescent="0.25">
      <c r="A58" s="416"/>
      <c r="B58" s="50" t="s">
        <v>60</v>
      </c>
      <c r="C58" s="16" t="s">
        <v>30</v>
      </c>
      <c r="D58" s="58"/>
      <c r="E58" s="58"/>
      <c r="F58" s="58"/>
      <c r="G58" s="58">
        <v>0.65</v>
      </c>
      <c r="H58" s="18">
        <f t="shared" si="1"/>
        <v>0</v>
      </c>
      <c r="I58" s="17"/>
      <c r="J58" s="428"/>
      <c r="K58" s="70"/>
    </row>
    <row r="59" spans="1:11" s="63" customFormat="1" x14ac:dyDescent="0.25">
      <c r="A59" s="416"/>
      <c r="B59" s="50" t="s">
        <v>188</v>
      </c>
      <c r="C59" s="16" t="s">
        <v>30</v>
      </c>
      <c r="D59" s="58">
        <f>'Parking lot'!J108</f>
        <v>152</v>
      </c>
      <c r="E59" s="58"/>
      <c r="F59" s="58"/>
      <c r="G59" s="58">
        <v>0.65</v>
      </c>
      <c r="H59" s="18">
        <f>G59*D59</f>
        <v>98.8</v>
      </c>
      <c r="I59" s="17"/>
      <c r="J59" s="428"/>
      <c r="K59" s="70"/>
    </row>
    <row r="60" spans="1:11" s="63" customFormat="1" x14ac:dyDescent="0.25">
      <c r="A60" s="416"/>
      <c r="B60" s="50" t="s">
        <v>187</v>
      </c>
      <c r="C60" s="16" t="s">
        <v>30</v>
      </c>
      <c r="D60" s="58">
        <f>'Parking lot'!J107</f>
        <v>34</v>
      </c>
      <c r="E60" s="58"/>
      <c r="F60" s="58"/>
      <c r="G60" s="58">
        <v>2</v>
      </c>
      <c r="H60" s="18">
        <f>G60*D60</f>
        <v>68</v>
      </c>
      <c r="I60" s="17"/>
      <c r="J60" s="428"/>
      <c r="K60" s="70"/>
    </row>
    <row r="61" spans="1:11" s="63" customFormat="1" x14ac:dyDescent="0.25">
      <c r="A61" s="416"/>
      <c r="B61" s="50" t="s">
        <v>61</v>
      </c>
      <c r="C61" s="16" t="s">
        <v>30</v>
      </c>
      <c r="D61" s="58">
        <f>'Parking lot'!J106</f>
        <v>48.96</v>
      </c>
      <c r="E61" s="58"/>
      <c r="F61" s="58"/>
      <c r="G61" s="58">
        <v>1</v>
      </c>
      <c r="H61" s="18">
        <f t="shared" si="1"/>
        <v>48.96</v>
      </c>
      <c r="I61" s="17"/>
      <c r="J61" s="428"/>
      <c r="K61" s="70"/>
    </row>
    <row r="62" spans="1:11" s="63" customFormat="1" x14ac:dyDescent="0.25">
      <c r="A62" s="416"/>
      <c r="B62" s="50" t="s">
        <v>62</v>
      </c>
      <c r="C62" s="16" t="s">
        <v>30</v>
      </c>
      <c r="D62" s="58"/>
      <c r="E62" s="58"/>
      <c r="F62" s="58"/>
      <c r="G62" s="58">
        <v>1</v>
      </c>
      <c r="H62" s="18">
        <f t="shared" si="1"/>
        <v>0</v>
      </c>
      <c r="I62" s="17"/>
      <c r="J62" s="428"/>
      <c r="K62" s="70"/>
    </row>
    <row r="63" spans="1:11" s="63" customFormat="1" x14ac:dyDescent="0.25">
      <c r="A63" s="416"/>
      <c r="B63" s="50" t="s">
        <v>63</v>
      </c>
      <c r="C63" s="16" t="s">
        <v>30</v>
      </c>
      <c r="D63" s="58"/>
      <c r="E63" s="58"/>
      <c r="F63" s="58"/>
      <c r="G63" s="58">
        <v>2.2000000000000002</v>
      </c>
      <c r="H63" s="18">
        <f t="shared" si="1"/>
        <v>0</v>
      </c>
      <c r="I63" s="17"/>
      <c r="J63" s="428"/>
      <c r="K63" s="70"/>
    </row>
    <row r="64" spans="1:11" s="63" customFormat="1" x14ac:dyDescent="0.25">
      <c r="A64" s="416"/>
      <c r="B64" s="50" t="s">
        <v>64</v>
      </c>
      <c r="C64" s="16" t="s">
        <v>30</v>
      </c>
      <c r="D64" s="58"/>
      <c r="E64" s="58"/>
      <c r="F64" s="58"/>
      <c r="G64" s="58">
        <v>1.8</v>
      </c>
      <c r="H64" s="18">
        <f t="shared" si="1"/>
        <v>0</v>
      </c>
      <c r="I64" s="17"/>
      <c r="J64" s="428"/>
      <c r="K64" s="70"/>
    </row>
    <row r="65" spans="1:11" s="63" customFormat="1" x14ac:dyDescent="0.25">
      <c r="A65" s="416"/>
      <c r="B65" s="50" t="s">
        <v>65</v>
      </c>
      <c r="C65" s="16" t="s">
        <v>30</v>
      </c>
      <c r="D65" s="58"/>
      <c r="E65" s="58"/>
      <c r="F65" s="58"/>
      <c r="G65" s="58">
        <v>1.8</v>
      </c>
      <c r="H65" s="18">
        <f t="shared" si="1"/>
        <v>0</v>
      </c>
      <c r="I65" s="17"/>
      <c r="J65" s="428"/>
      <c r="K65" s="70"/>
    </row>
    <row r="66" spans="1:11" s="63" customFormat="1" x14ac:dyDescent="0.25">
      <c r="A66" s="416"/>
      <c r="B66" s="50" t="s">
        <v>66</v>
      </c>
      <c r="C66" s="16" t="s">
        <v>27</v>
      </c>
      <c r="D66" s="58"/>
      <c r="E66" s="58"/>
      <c r="F66" s="58"/>
      <c r="G66" s="58">
        <v>250</v>
      </c>
      <c r="H66" s="18">
        <f t="shared" si="1"/>
        <v>0</v>
      </c>
      <c r="I66" s="17"/>
      <c r="J66" s="428"/>
      <c r="K66" s="70"/>
    </row>
    <row r="67" spans="1:11" s="63" customFormat="1" x14ac:dyDescent="0.25">
      <c r="A67" s="416"/>
      <c r="B67" s="50" t="s">
        <v>67</v>
      </c>
      <c r="C67" s="16" t="s">
        <v>27</v>
      </c>
      <c r="D67" s="58"/>
      <c r="E67" s="58"/>
      <c r="F67" s="58"/>
      <c r="G67" s="58">
        <v>300</v>
      </c>
      <c r="H67" s="18">
        <f t="shared" si="1"/>
        <v>0</v>
      </c>
      <c r="I67" s="17"/>
      <c r="J67" s="428"/>
      <c r="K67" s="70"/>
    </row>
    <row r="68" spans="1:11" s="63" customFormat="1" x14ac:dyDescent="0.25">
      <c r="A68" s="416"/>
      <c r="B68" s="50" t="s">
        <v>68</v>
      </c>
      <c r="C68" s="16" t="s">
        <v>27</v>
      </c>
      <c r="D68" s="58">
        <v>2</v>
      </c>
      <c r="E68" s="58"/>
      <c r="F68" s="58"/>
      <c r="G68" s="58">
        <v>230</v>
      </c>
      <c r="H68" s="18">
        <f t="shared" si="1"/>
        <v>460</v>
      </c>
      <c r="I68" s="17"/>
      <c r="J68" s="428"/>
      <c r="K68" s="70"/>
    </row>
    <row r="69" spans="1:11" s="63" customFormat="1" x14ac:dyDescent="0.25">
      <c r="A69" s="416"/>
      <c r="B69" s="50" t="s">
        <v>69</v>
      </c>
      <c r="C69" s="16" t="s">
        <v>27</v>
      </c>
      <c r="D69" s="58">
        <v>4</v>
      </c>
      <c r="E69" s="58"/>
      <c r="F69" s="58"/>
      <c r="G69" s="58">
        <v>230</v>
      </c>
      <c r="H69" s="18">
        <f t="shared" si="1"/>
        <v>920</v>
      </c>
      <c r="I69" s="17"/>
      <c r="J69" s="428"/>
      <c r="K69" s="70"/>
    </row>
    <row r="70" spans="1:11" s="63" customFormat="1" x14ac:dyDescent="0.25">
      <c r="A70" s="416"/>
      <c r="B70" s="50" t="s">
        <v>70</v>
      </c>
      <c r="C70" s="16" t="s">
        <v>27</v>
      </c>
      <c r="D70" s="58">
        <v>10</v>
      </c>
      <c r="E70" s="58"/>
      <c r="F70" s="58"/>
      <c r="G70" s="58">
        <v>250</v>
      </c>
      <c r="H70" s="18">
        <f t="shared" si="1"/>
        <v>2500</v>
      </c>
      <c r="I70" s="17"/>
      <c r="J70" s="428"/>
      <c r="K70" s="70"/>
    </row>
    <row r="71" spans="1:11" s="63" customFormat="1" x14ac:dyDescent="0.25">
      <c r="A71" s="416"/>
      <c r="B71" s="50" t="s">
        <v>71</v>
      </c>
      <c r="C71" s="16" t="s">
        <v>72</v>
      </c>
      <c r="D71" s="58">
        <v>10</v>
      </c>
      <c r="E71" s="58"/>
      <c r="F71" s="58"/>
      <c r="G71" s="58">
        <v>300</v>
      </c>
      <c r="H71" s="18">
        <f t="shared" si="1"/>
        <v>3000</v>
      </c>
      <c r="I71" s="17"/>
      <c r="J71" s="428"/>
      <c r="K71" s="70"/>
    </row>
    <row r="72" spans="1:11" s="63" customFormat="1" x14ac:dyDescent="0.25">
      <c r="A72" s="416"/>
      <c r="B72" s="50" t="s">
        <v>73</v>
      </c>
      <c r="C72" s="16" t="s">
        <v>27</v>
      </c>
      <c r="D72" s="58">
        <v>5</v>
      </c>
      <c r="E72" s="58"/>
      <c r="F72" s="58"/>
      <c r="G72" s="58">
        <v>90</v>
      </c>
      <c r="H72" s="18">
        <f t="shared" si="1"/>
        <v>450</v>
      </c>
      <c r="I72" s="17"/>
      <c r="J72" s="428"/>
      <c r="K72" s="70"/>
    </row>
    <row r="73" spans="1:11" s="63" customFormat="1" x14ac:dyDescent="0.25">
      <c r="A73" s="416"/>
      <c r="B73" s="50" t="s">
        <v>74</v>
      </c>
      <c r="C73" s="16" t="s">
        <v>27</v>
      </c>
      <c r="D73" s="58">
        <v>10</v>
      </c>
      <c r="E73" s="58"/>
      <c r="F73" s="58"/>
      <c r="G73" s="58">
        <v>35</v>
      </c>
      <c r="H73" s="18">
        <f t="shared" si="1"/>
        <v>350</v>
      </c>
      <c r="I73" s="17"/>
      <c r="J73" s="428"/>
      <c r="K73" s="70"/>
    </row>
    <row r="74" spans="1:11" ht="15" customHeight="1" x14ac:dyDescent="0.25">
      <c r="A74" s="430"/>
      <c r="B74" s="72"/>
      <c r="C74" s="71"/>
      <c r="D74" s="73"/>
      <c r="E74" s="73"/>
      <c r="F74" s="73"/>
      <c r="G74" s="73"/>
      <c r="H74" s="74"/>
      <c r="I74" s="73"/>
      <c r="J74" s="431"/>
    </row>
    <row r="75" spans="1:11" ht="15" customHeight="1" x14ac:dyDescent="0.25">
      <c r="A75" s="406">
        <v>7</v>
      </c>
      <c r="B75" s="7" t="s">
        <v>75</v>
      </c>
      <c r="C75" s="24"/>
      <c r="D75" s="25"/>
      <c r="E75" s="25"/>
      <c r="F75" s="25"/>
      <c r="G75" s="25"/>
      <c r="H75" s="26">
        <f>SUM(H76:H111)</f>
        <v>876619.23392999999</v>
      </c>
      <c r="I75" s="9"/>
      <c r="J75" s="432"/>
    </row>
    <row r="76" spans="1:11" ht="135" x14ac:dyDescent="0.25">
      <c r="A76" s="426">
        <v>7.1</v>
      </c>
      <c r="B76" s="76" t="s">
        <v>76</v>
      </c>
      <c r="C76" s="12"/>
      <c r="D76" s="13"/>
      <c r="E76" s="13"/>
      <c r="F76" s="13"/>
      <c r="G76" s="13"/>
      <c r="H76" s="14"/>
      <c r="I76" s="13"/>
      <c r="J76" s="433"/>
    </row>
    <row r="77" spans="1:11" ht="15" customHeight="1" x14ac:dyDescent="0.25">
      <c r="A77" s="416"/>
      <c r="B77" s="77" t="s">
        <v>77</v>
      </c>
      <c r="C77" s="16"/>
      <c r="D77" s="17"/>
      <c r="E77" s="17"/>
      <c r="F77" s="17"/>
      <c r="G77" s="17"/>
      <c r="H77" s="18"/>
      <c r="I77" s="17"/>
      <c r="J77" s="434"/>
    </row>
    <row r="78" spans="1:11" ht="15" customHeight="1" x14ac:dyDescent="0.25">
      <c r="A78" s="416">
        <v>1</v>
      </c>
      <c r="B78" s="463" t="s">
        <v>707</v>
      </c>
      <c r="C78" s="16" t="s">
        <v>19</v>
      </c>
      <c r="D78" s="441">
        <v>34</v>
      </c>
      <c r="E78" s="17"/>
      <c r="F78" s="17"/>
      <c r="G78" s="17">
        <v>520</v>
      </c>
      <c r="H78" s="18">
        <f t="shared" ref="H78:H109" si="2">G78*D78</f>
        <v>17680</v>
      </c>
      <c r="I78" s="17"/>
      <c r="J78" s="434"/>
    </row>
    <row r="79" spans="1:11" ht="15" customHeight="1" x14ac:dyDescent="0.25">
      <c r="A79" s="416">
        <v>2</v>
      </c>
      <c r="B79" s="464" t="s">
        <v>708</v>
      </c>
      <c r="C79" s="16" t="s">
        <v>19</v>
      </c>
      <c r="D79" s="441">
        <v>16</v>
      </c>
      <c r="E79" s="17"/>
      <c r="F79" s="17"/>
      <c r="G79" s="17">
        <v>520</v>
      </c>
      <c r="H79" s="18">
        <f t="shared" si="2"/>
        <v>8320</v>
      </c>
      <c r="I79" s="17"/>
      <c r="J79" s="434"/>
    </row>
    <row r="80" spans="1:11" ht="15" customHeight="1" x14ac:dyDescent="0.25">
      <c r="A80" s="416">
        <v>6</v>
      </c>
      <c r="B80" s="463" t="s">
        <v>709</v>
      </c>
      <c r="C80" s="16" t="s">
        <v>19</v>
      </c>
      <c r="D80" s="441">
        <v>13</v>
      </c>
      <c r="E80" s="17"/>
      <c r="F80" s="17"/>
      <c r="G80" s="17">
        <v>520</v>
      </c>
      <c r="H80" s="18">
        <f t="shared" si="2"/>
        <v>6760</v>
      </c>
      <c r="I80" s="17"/>
      <c r="J80" s="434"/>
    </row>
    <row r="81" spans="1:10" ht="15" customHeight="1" x14ac:dyDescent="0.25">
      <c r="A81" s="416">
        <v>7</v>
      </c>
      <c r="B81" s="464" t="s">
        <v>710</v>
      </c>
      <c r="C81" s="16" t="s">
        <v>19</v>
      </c>
      <c r="D81" s="441">
        <v>39</v>
      </c>
      <c r="E81" s="17"/>
      <c r="F81" s="17"/>
      <c r="G81" s="17">
        <v>520</v>
      </c>
      <c r="H81" s="18">
        <f t="shared" si="2"/>
        <v>20280</v>
      </c>
      <c r="I81" s="17"/>
      <c r="J81" s="434"/>
    </row>
    <row r="82" spans="1:10" ht="15" customHeight="1" x14ac:dyDescent="0.25">
      <c r="A82" s="416">
        <v>8</v>
      </c>
      <c r="B82" s="463" t="s">
        <v>711</v>
      </c>
      <c r="C82" s="16" t="s">
        <v>19</v>
      </c>
      <c r="D82" s="441">
        <v>40</v>
      </c>
      <c r="E82" s="17"/>
      <c r="F82" s="17"/>
      <c r="G82" s="17">
        <v>520</v>
      </c>
      <c r="H82" s="18">
        <f t="shared" si="2"/>
        <v>20800</v>
      </c>
      <c r="I82" s="17"/>
      <c r="J82" s="434"/>
    </row>
    <row r="83" spans="1:10" ht="15" customHeight="1" x14ac:dyDescent="0.25">
      <c r="A83" s="416">
        <v>9</v>
      </c>
      <c r="B83" s="464" t="s">
        <v>712</v>
      </c>
      <c r="C83" s="16" t="s">
        <v>19</v>
      </c>
      <c r="D83" s="441">
        <v>25</v>
      </c>
      <c r="E83" s="17"/>
      <c r="F83" s="17"/>
      <c r="G83" s="17">
        <v>520</v>
      </c>
      <c r="H83" s="18">
        <f t="shared" si="2"/>
        <v>13000</v>
      </c>
      <c r="I83" s="17"/>
      <c r="J83" s="434"/>
    </row>
    <row r="84" spans="1:10" ht="15" customHeight="1" x14ac:dyDescent="0.25">
      <c r="A84" s="416">
        <v>10</v>
      </c>
      <c r="B84" s="463" t="s">
        <v>713</v>
      </c>
      <c r="C84" s="16" t="s">
        <v>19</v>
      </c>
      <c r="D84" s="441">
        <v>13</v>
      </c>
      <c r="E84" s="17"/>
      <c r="F84" s="17"/>
      <c r="G84" s="17">
        <v>520</v>
      </c>
      <c r="H84" s="18">
        <f t="shared" si="2"/>
        <v>6760</v>
      </c>
      <c r="I84" s="17"/>
      <c r="J84" s="434"/>
    </row>
    <row r="85" spans="1:10" ht="15" customHeight="1" x14ac:dyDescent="0.25">
      <c r="A85" s="416">
        <v>11</v>
      </c>
      <c r="B85" s="464" t="s">
        <v>714</v>
      </c>
      <c r="C85" s="16" t="s">
        <v>19</v>
      </c>
      <c r="D85" s="441">
        <v>19</v>
      </c>
      <c r="E85" s="17"/>
      <c r="F85" s="17"/>
      <c r="G85" s="17">
        <v>520</v>
      </c>
      <c r="H85" s="18">
        <f t="shared" si="2"/>
        <v>9880</v>
      </c>
      <c r="I85" s="17"/>
      <c r="J85" s="434"/>
    </row>
    <row r="86" spans="1:10" ht="15" customHeight="1" x14ac:dyDescent="0.25">
      <c r="A86" s="416">
        <v>12</v>
      </c>
      <c r="B86" s="463" t="s">
        <v>715</v>
      </c>
      <c r="C86" s="16" t="s">
        <v>19</v>
      </c>
      <c r="D86" s="441">
        <v>3</v>
      </c>
      <c r="E86" s="17"/>
      <c r="F86" s="17"/>
      <c r="G86" s="17">
        <v>520</v>
      </c>
      <c r="H86" s="18">
        <f t="shared" si="2"/>
        <v>1560</v>
      </c>
      <c r="I86" s="17"/>
      <c r="J86" s="434"/>
    </row>
    <row r="87" spans="1:10" ht="15" customHeight="1" x14ac:dyDescent="0.25">
      <c r="A87" s="416"/>
      <c r="B87" s="464" t="s">
        <v>716</v>
      </c>
      <c r="C87" s="16" t="s">
        <v>19</v>
      </c>
      <c r="D87" s="441">
        <v>22</v>
      </c>
      <c r="E87" s="17"/>
      <c r="F87" s="17"/>
      <c r="G87" s="17">
        <v>520</v>
      </c>
      <c r="H87" s="18">
        <f t="shared" si="2"/>
        <v>11440</v>
      </c>
      <c r="I87" s="17"/>
      <c r="J87" s="434"/>
    </row>
    <row r="88" spans="1:10" ht="15" customHeight="1" x14ac:dyDescent="0.25">
      <c r="A88" s="416"/>
      <c r="B88" s="463" t="s">
        <v>717</v>
      </c>
      <c r="C88" s="16" t="s">
        <v>19</v>
      </c>
      <c r="D88" s="441">
        <v>5</v>
      </c>
      <c r="E88" s="17"/>
      <c r="F88" s="17"/>
      <c r="G88" s="17"/>
      <c r="H88" s="18"/>
      <c r="I88" s="17"/>
      <c r="J88" s="434"/>
    </row>
    <row r="89" spans="1:10" ht="15" customHeight="1" x14ac:dyDescent="0.25">
      <c r="A89" s="416"/>
      <c r="B89" s="464" t="s">
        <v>718</v>
      </c>
      <c r="C89" s="16" t="s">
        <v>19</v>
      </c>
      <c r="D89" s="441">
        <v>13</v>
      </c>
      <c r="E89" s="17"/>
      <c r="F89" s="17"/>
      <c r="G89" s="17"/>
      <c r="H89" s="18"/>
      <c r="I89" s="17"/>
      <c r="J89" s="434"/>
    </row>
    <row r="90" spans="1:10" ht="15" customHeight="1" x14ac:dyDescent="0.25">
      <c r="A90" s="416"/>
      <c r="B90" s="19"/>
      <c r="C90" s="16"/>
      <c r="D90" s="17"/>
      <c r="E90" s="17"/>
      <c r="F90" s="17"/>
      <c r="G90" s="17"/>
      <c r="H90" s="18"/>
      <c r="I90" s="17"/>
      <c r="J90" s="434"/>
    </row>
    <row r="91" spans="1:10" ht="15" customHeight="1" x14ac:dyDescent="0.25">
      <c r="A91" s="416"/>
      <c r="B91" s="77" t="s">
        <v>78</v>
      </c>
      <c r="C91" s="16"/>
      <c r="D91" s="17"/>
      <c r="E91" s="17"/>
      <c r="F91" s="17"/>
      <c r="G91" s="17"/>
      <c r="H91" s="18"/>
      <c r="I91" s="17"/>
      <c r="J91" s="434"/>
    </row>
    <row r="92" spans="1:10" ht="15" customHeight="1" x14ac:dyDescent="0.25">
      <c r="A92" s="416"/>
      <c r="B92" s="446" t="s">
        <v>719</v>
      </c>
      <c r="C92" s="16" t="s">
        <v>19</v>
      </c>
      <c r="D92" s="441">
        <v>44</v>
      </c>
      <c r="E92" s="17"/>
      <c r="F92" s="17"/>
      <c r="G92" s="17">
        <v>40</v>
      </c>
      <c r="H92" s="18">
        <f t="shared" si="2"/>
        <v>1760</v>
      </c>
      <c r="I92" s="17"/>
      <c r="J92" s="434"/>
    </row>
    <row r="93" spans="1:10" ht="15" customHeight="1" x14ac:dyDescent="0.25">
      <c r="A93" s="416"/>
      <c r="B93" s="446" t="s">
        <v>720</v>
      </c>
      <c r="C93" s="16" t="s">
        <v>19</v>
      </c>
      <c r="D93" s="441">
        <v>826</v>
      </c>
      <c r="E93" s="17"/>
      <c r="F93" s="17"/>
      <c r="G93" s="17">
        <v>40</v>
      </c>
      <c r="H93" s="18">
        <f t="shared" si="2"/>
        <v>33040</v>
      </c>
      <c r="I93" s="17"/>
      <c r="J93" s="434"/>
    </row>
    <row r="94" spans="1:10" ht="15" customHeight="1" x14ac:dyDescent="0.25">
      <c r="A94" s="416"/>
      <c r="B94" s="446" t="s">
        <v>721</v>
      </c>
      <c r="C94" s="16" t="s">
        <v>19</v>
      </c>
      <c r="D94" s="441">
        <v>3270</v>
      </c>
      <c r="E94" s="17"/>
      <c r="F94" s="17"/>
      <c r="G94" s="17">
        <v>40</v>
      </c>
      <c r="H94" s="18">
        <f t="shared" si="2"/>
        <v>130800</v>
      </c>
      <c r="I94" s="17"/>
      <c r="J94" s="434"/>
    </row>
    <row r="95" spans="1:10" ht="15" customHeight="1" x14ac:dyDescent="0.25">
      <c r="A95" s="416"/>
      <c r="B95" s="446" t="s">
        <v>722</v>
      </c>
      <c r="C95" s="16" t="s">
        <v>19</v>
      </c>
      <c r="D95" s="441">
        <v>785</v>
      </c>
      <c r="E95" s="17"/>
      <c r="F95" s="17"/>
      <c r="G95" s="17">
        <v>40</v>
      </c>
      <c r="H95" s="18">
        <f t="shared" si="2"/>
        <v>31400</v>
      </c>
      <c r="I95" s="17"/>
      <c r="J95" s="434"/>
    </row>
    <row r="96" spans="1:10" ht="15" customHeight="1" x14ac:dyDescent="0.25">
      <c r="A96" s="416"/>
      <c r="B96" s="446" t="s">
        <v>723</v>
      </c>
      <c r="C96" s="16" t="s">
        <v>19</v>
      </c>
      <c r="D96" s="441">
        <v>1250</v>
      </c>
      <c r="E96" s="17"/>
      <c r="F96" s="17"/>
      <c r="G96" s="17">
        <v>40</v>
      </c>
      <c r="H96" s="18">
        <f t="shared" si="2"/>
        <v>50000</v>
      </c>
      <c r="I96" s="17"/>
      <c r="J96" s="434"/>
    </row>
    <row r="97" spans="1:11" ht="15" customHeight="1" x14ac:dyDescent="0.25">
      <c r="A97" s="416"/>
      <c r="B97" s="446" t="s">
        <v>724</v>
      </c>
      <c r="C97" s="16" t="s">
        <v>19</v>
      </c>
      <c r="D97" s="441">
        <v>144</v>
      </c>
      <c r="E97" s="17"/>
      <c r="F97" s="17"/>
      <c r="G97" s="17">
        <v>40</v>
      </c>
      <c r="H97" s="18">
        <f t="shared" si="2"/>
        <v>5760</v>
      </c>
      <c r="I97" s="17"/>
      <c r="J97" s="434"/>
    </row>
    <row r="98" spans="1:11" ht="15" customHeight="1" x14ac:dyDescent="0.25">
      <c r="A98" s="416"/>
      <c r="B98" s="446" t="s">
        <v>725</v>
      </c>
      <c r="C98" s="16" t="s">
        <v>19</v>
      </c>
      <c r="D98" s="441">
        <v>65</v>
      </c>
      <c r="E98" s="17"/>
      <c r="F98" s="17"/>
      <c r="G98" s="17">
        <v>40</v>
      </c>
      <c r="H98" s="18">
        <f t="shared" si="2"/>
        <v>2600</v>
      </c>
      <c r="I98" s="17"/>
      <c r="J98" s="434"/>
    </row>
    <row r="99" spans="1:11" ht="15" customHeight="1" x14ac:dyDescent="0.25">
      <c r="A99" s="416"/>
      <c r="B99" s="446" t="s">
        <v>726</v>
      </c>
      <c r="C99" s="16" t="s">
        <v>19</v>
      </c>
      <c r="D99" s="441">
        <v>1237</v>
      </c>
      <c r="E99" s="17"/>
      <c r="F99" s="17"/>
      <c r="G99" s="17">
        <v>40</v>
      </c>
      <c r="H99" s="18">
        <f t="shared" si="2"/>
        <v>49480</v>
      </c>
      <c r="I99" s="17"/>
      <c r="J99" s="434"/>
    </row>
    <row r="100" spans="1:11" ht="15" customHeight="1" x14ac:dyDescent="0.25">
      <c r="A100" s="416"/>
      <c r="B100" s="77"/>
      <c r="C100" s="16"/>
      <c r="D100" s="17"/>
      <c r="E100" s="17"/>
      <c r="F100" s="17"/>
      <c r="G100" s="17"/>
      <c r="H100" s="18"/>
      <c r="I100" s="17"/>
      <c r="J100" s="434"/>
    </row>
    <row r="101" spans="1:11" ht="15" customHeight="1" x14ac:dyDescent="0.25">
      <c r="A101" s="416"/>
      <c r="B101" s="77" t="s">
        <v>80</v>
      </c>
      <c r="C101" s="16"/>
      <c r="D101" s="17"/>
      <c r="E101" s="17"/>
      <c r="F101" s="17"/>
      <c r="G101" s="17"/>
      <c r="H101" s="18"/>
      <c r="I101" s="17"/>
      <c r="J101" s="434"/>
    </row>
    <row r="102" spans="1:11" ht="15" customHeight="1" x14ac:dyDescent="0.25">
      <c r="A102" s="416">
        <v>1</v>
      </c>
      <c r="B102" s="35" t="s">
        <v>81</v>
      </c>
      <c r="C102" s="16" t="s">
        <v>82</v>
      </c>
      <c r="D102" s="17"/>
      <c r="E102" s="17"/>
      <c r="F102" s="17"/>
      <c r="G102" s="17">
        <v>2</v>
      </c>
      <c r="H102" s="18">
        <f t="shared" si="2"/>
        <v>0</v>
      </c>
      <c r="I102" s="17"/>
      <c r="J102" s="434"/>
    </row>
    <row r="103" spans="1:11" ht="15" customHeight="1" x14ac:dyDescent="0.25">
      <c r="A103" s="416">
        <v>3</v>
      </c>
      <c r="B103" s="35" t="s">
        <v>83</v>
      </c>
      <c r="C103" s="16" t="s">
        <v>84</v>
      </c>
      <c r="D103" s="17"/>
      <c r="E103" s="17"/>
      <c r="F103" s="17"/>
      <c r="G103" s="17">
        <v>5.98</v>
      </c>
      <c r="H103" s="18">
        <f t="shared" si="2"/>
        <v>0</v>
      </c>
      <c r="I103" s="17"/>
      <c r="J103" s="434"/>
    </row>
    <row r="104" spans="1:11" ht="15" customHeight="1" x14ac:dyDescent="0.25">
      <c r="A104" s="416">
        <v>4</v>
      </c>
      <c r="B104" s="35" t="s">
        <v>85</v>
      </c>
      <c r="C104" s="16" t="s">
        <v>82</v>
      </c>
      <c r="D104" s="17"/>
      <c r="E104" s="17"/>
      <c r="F104" s="17"/>
      <c r="G104" s="17">
        <v>6</v>
      </c>
      <c r="H104" s="18">
        <f t="shared" si="2"/>
        <v>0</v>
      </c>
      <c r="I104" s="17"/>
      <c r="J104" s="434"/>
    </row>
    <row r="105" spans="1:11" ht="15" customHeight="1" x14ac:dyDescent="0.25">
      <c r="A105" s="416">
        <v>5</v>
      </c>
      <c r="B105" s="35" t="s">
        <v>86</v>
      </c>
      <c r="C105" s="16" t="s">
        <v>87</v>
      </c>
      <c r="D105" s="17"/>
      <c r="E105" s="17"/>
      <c r="F105" s="17"/>
      <c r="G105" s="17">
        <v>200</v>
      </c>
      <c r="H105" s="18">
        <f t="shared" si="2"/>
        <v>0</v>
      </c>
      <c r="I105" s="17"/>
      <c r="J105" s="434"/>
    </row>
    <row r="106" spans="1:11" ht="15" customHeight="1" x14ac:dyDescent="0.25">
      <c r="A106" s="435">
        <v>8.1999999999999993</v>
      </c>
      <c r="B106" s="60" t="s">
        <v>88</v>
      </c>
      <c r="C106" s="80"/>
      <c r="D106" s="78"/>
      <c r="E106" s="78"/>
      <c r="F106" s="78"/>
      <c r="G106" s="78"/>
      <c r="H106" s="18"/>
      <c r="I106" s="78"/>
      <c r="J106" s="434"/>
    </row>
    <row r="107" spans="1:11" ht="15" customHeight="1" x14ac:dyDescent="0.25">
      <c r="A107" s="416">
        <v>1</v>
      </c>
      <c r="B107" s="35" t="s">
        <v>89</v>
      </c>
      <c r="C107" s="16" t="s">
        <v>90</v>
      </c>
      <c r="D107" s="17">
        <f>'Parking lot'!J125</f>
        <v>224247.79</v>
      </c>
      <c r="E107" s="17"/>
      <c r="F107" s="17"/>
      <c r="G107" s="17">
        <v>0.65</v>
      </c>
      <c r="H107" s="18">
        <f t="shared" si="2"/>
        <v>145761.06350000002</v>
      </c>
      <c r="I107" s="17"/>
      <c r="J107" s="434"/>
    </row>
    <row r="108" spans="1:11" ht="15" customHeight="1" x14ac:dyDescent="0.25">
      <c r="A108" s="416">
        <v>2</v>
      </c>
      <c r="B108" s="81" t="s">
        <v>91</v>
      </c>
      <c r="C108" s="80" t="s">
        <v>90</v>
      </c>
      <c r="D108" s="78">
        <f>D107</f>
        <v>224247.79</v>
      </c>
      <c r="E108" s="78"/>
      <c r="F108" s="78"/>
      <c r="G108" s="78">
        <v>0.2</v>
      </c>
      <c r="H108" s="18">
        <f t="shared" si="2"/>
        <v>44849.558000000005</v>
      </c>
      <c r="I108" s="78"/>
      <c r="J108" s="434"/>
    </row>
    <row r="109" spans="1:11" ht="15" customHeight="1" x14ac:dyDescent="0.25">
      <c r="A109" s="416">
        <v>3</v>
      </c>
      <c r="B109" s="35" t="s">
        <v>92</v>
      </c>
      <c r="C109" s="80" t="s">
        <v>93</v>
      </c>
      <c r="D109" s="78">
        <v>450</v>
      </c>
      <c r="E109" s="78"/>
      <c r="F109" s="78"/>
      <c r="G109" s="78">
        <v>550</v>
      </c>
      <c r="H109" s="18">
        <f t="shared" si="2"/>
        <v>247500</v>
      </c>
      <c r="I109" s="78"/>
      <c r="J109" s="434"/>
    </row>
    <row r="110" spans="1:11" ht="15" customHeight="1" x14ac:dyDescent="0.25">
      <c r="A110" s="424"/>
      <c r="B110" s="35" t="s">
        <v>20</v>
      </c>
      <c r="C110" s="16"/>
      <c r="D110" s="17"/>
      <c r="E110" s="17"/>
      <c r="F110" s="17"/>
      <c r="G110" s="17"/>
      <c r="H110" s="18">
        <f>SUM(H77:H109)*2%</f>
        <v>17188.612430000001</v>
      </c>
      <c r="I110" s="17"/>
      <c r="J110" s="434"/>
      <c r="K110" s="82"/>
    </row>
    <row r="111" spans="1:11" ht="15" customHeight="1" x14ac:dyDescent="0.25">
      <c r="A111" s="430"/>
      <c r="B111" s="38"/>
      <c r="C111" s="71"/>
      <c r="D111" s="73"/>
      <c r="E111" s="73"/>
      <c r="F111" s="73"/>
      <c r="G111" s="73"/>
      <c r="H111" s="22"/>
      <c r="I111" s="73"/>
      <c r="J111" s="431"/>
    </row>
    <row r="112" spans="1:11" ht="15" customHeight="1" x14ac:dyDescent="0.25">
      <c r="A112" s="437">
        <v>8</v>
      </c>
      <c r="B112" s="7" t="s">
        <v>95</v>
      </c>
      <c r="C112" s="24"/>
      <c r="D112" s="25"/>
      <c r="E112" s="25"/>
      <c r="F112" s="25"/>
      <c r="G112" s="25"/>
      <c r="H112" s="26">
        <f>SUM(H113:H114)</f>
        <v>8800</v>
      </c>
      <c r="I112" s="9"/>
      <c r="J112" s="432"/>
    </row>
    <row r="113" spans="1:11" ht="15" customHeight="1" x14ac:dyDescent="0.25">
      <c r="A113" s="408"/>
      <c r="B113" s="55" t="s">
        <v>96</v>
      </c>
      <c r="C113" s="12" t="s">
        <v>94</v>
      </c>
      <c r="D113" s="45">
        <v>4</v>
      </c>
      <c r="E113" s="45"/>
      <c r="F113" s="45"/>
      <c r="G113" s="45">
        <v>2200</v>
      </c>
      <c r="H113" s="46">
        <f t="shared" ref="H113" si="3">G113*D113</f>
        <v>8800</v>
      </c>
      <c r="I113" s="45"/>
      <c r="J113" s="436"/>
      <c r="K113" s="84"/>
    </row>
    <row r="114" spans="1:11" ht="15" customHeight="1" thickBot="1" x14ac:dyDescent="0.3">
      <c r="A114" s="438"/>
      <c r="B114" s="390"/>
      <c r="C114" s="391"/>
      <c r="D114" s="392"/>
      <c r="E114" s="392"/>
      <c r="F114" s="392"/>
      <c r="G114" s="392"/>
      <c r="H114" s="393"/>
      <c r="I114" s="392"/>
      <c r="J114" s="439"/>
    </row>
    <row r="115" spans="1:11" s="388" customFormat="1" ht="21.75" thickBot="1" x14ac:dyDescent="0.3">
      <c r="A115" s="394"/>
      <c r="B115" s="395"/>
      <c r="C115" s="396"/>
      <c r="D115" s="397"/>
      <c r="E115" s="397"/>
      <c r="F115" s="397"/>
      <c r="G115" s="397"/>
      <c r="H115" s="398">
        <f>+H2+H8+H20+H32+H46+H55+H75+H112</f>
        <v>2951467.2687020553</v>
      </c>
      <c r="I115" s="397"/>
      <c r="J115" s="399"/>
      <c r="K115" s="389"/>
    </row>
  </sheetData>
  <hyperlinks>
    <hyperlink ref="J24" r:id="rId1" display="https://www.wildwood-fl.gov/sites/default/files/fileattachments/development_services/page/2861/wildwood_construction_costs_sanitary_sewer.pdf" xr:uid="{F8EFCDAF-D6AE-4116-AC13-8920CDECC0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6A4E9-576D-4CDD-BF9F-0E8C01BEACA4}">
  <dimension ref="A1:P143"/>
  <sheetViews>
    <sheetView tabSelected="1" topLeftCell="A8" zoomScaleNormal="100" workbookViewId="0">
      <selection activeCell="D92" sqref="D92"/>
    </sheetView>
  </sheetViews>
  <sheetFormatPr defaultColWidth="9.140625" defaultRowHeight="15" outlineLevelRow="1" x14ac:dyDescent="0.25"/>
  <cols>
    <col min="1" max="1" width="9.140625" style="85"/>
    <col min="2" max="2" width="83" style="5" customWidth="1"/>
    <col min="3" max="3" width="10.7109375" style="85" customWidth="1"/>
    <col min="4" max="7" width="15.7109375" style="75" customWidth="1"/>
    <col min="8" max="8" width="20.42578125" style="75" bestFit="1" customWidth="1"/>
    <col min="9" max="9" width="15.7109375" style="75" customWidth="1"/>
    <col min="10" max="10" width="17.85546875" style="75" bestFit="1" customWidth="1"/>
    <col min="11" max="11" width="20.7109375" style="86" bestFit="1" customWidth="1"/>
    <col min="12" max="12" width="8.85546875" style="75" bestFit="1" customWidth="1"/>
    <col min="13" max="13" width="14.28515625" style="82" bestFit="1" customWidth="1"/>
    <col min="14" max="14" width="15.7109375" style="75" hidden="1" customWidth="1"/>
    <col min="15" max="15" width="28" style="5" hidden="1" customWidth="1"/>
    <col min="16" max="16" width="14.28515625" style="5" hidden="1" customWidth="1"/>
    <col min="17" max="17" width="0" style="5" hidden="1" customWidth="1"/>
    <col min="18" max="16384" width="9.140625" style="5"/>
  </cols>
  <sheetData>
    <row r="1" spans="1:14" ht="29.1" customHeight="1" x14ac:dyDescent="0.25">
      <c r="A1" s="1" t="s">
        <v>0</v>
      </c>
      <c r="B1" s="1" t="s">
        <v>1</v>
      </c>
      <c r="C1" s="1" t="s">
        <v>2</v>
      </c>
      <c r="D1" s="2" t="s">
        <v>3</v>
      </c>
      <c r="E1" s="2" t="s">
        <v>569</v>
      </c>
      <c r="F1" s="346"/>
      <c r="G1" s="539" t="s">
        <v>561</v>
      </c>
      <c r="H1" s="540"/>
      <c r="I1" s="539" t="s">
        <v>562</v>
      </c>
      <c r="J1" s="540"/>
      <c r="K1" s="3" t="s">
        <v>5</v>
      </c>
      <c r="L1" s="2" t="s">
        <v>6</v>
      </c>
      <c r="M1" s="2" t="s">
        <v>7</v>
      </c>
      <c r="N1" s="4" t="s">
        <v>8</v>
      </c>
    </row>
    <row r="2" spans="1:14" s="11" customFormat="1" ht="15" customHeight="1" x14ac:dyDescent="0.25">
      <c r="A2" s="6">
        <v>1</v>
      </c>
      <c r="B2" s="7" t="s">
        <v>11</v>
      </c>
      <c r="C2" s="24"/>
      <c r="D2" s="25"/>
      <c r="E2" s="25"/>
      <c r="F2" s="25"/>
      <c r="G2" s="338" t="s">
        <v>563</v>
      </c>
      <c r="H2" s="338" t="s">
        <v>564</v>
      </c>
      <c r="I2" s="338" t="s">
        <v>563</v>
      </c>
      <c r="J2" s="338" t="s">
        <v>564</v>
      </c>
      <c r="K2" s="339"/>
      <c r="L2" s="9"/>
      <c r="M2" s="27"/>
    </row>
    <row r="3" spans="1:14" s="11" customFormat="1" ht="63.75" customHeight="1" outlineLevel="1" x14ac:dyDescent="0.25">
      <c r="A3" s="12"/>
      <c r="B3" s="28" t="s">
        <v>12</v>
      </c>
      <c r="C3" s="12"/>
      <c r="D3" s="13"/>
      <c r="E3" s="13"/>
      <c r="F3" s="13"/>
      <c r="G3" s="13"/>
      <c r="H3" s="13"/>
      <c r="I3" s="13"/>
      <c r="J3" s="13"/>
      <c r="K3" s="14"/>
      <c r="L3" s="13"/>
      <c r="M3" s="15"/>
    </row>
    <row r="4" spans="1:14" s="11" customFormat="1" ht="15" customHeight="1" outlineLevel="1" x14ac:dyDescent="0.25">
      <c r="A4" s="29"/>
      <c r="B4" s="30" t="s">
        <v>13</v>
      </c>
      <c r="C4" s="29"/>
      <c r="D4" s="31"/>
      <c r="E4" s="31"/>
      <c r="F4" s="31"/>
      <c r="G4" s="31"/>
      <c r="H4" s="31"/>
      <c r="I4" s="31"/>
      <c r="J4" s="31"/>
      <c r="K4" s="32"/>
      <c r="L4" s="31"/>
      <c r="M4" s="33"/>
    </row>
    <row r="5" spans="1:14" s="11" customFormat="1" ht="15" customHeight="1" outlineLevel="1" x14ac:dyDescent="0.25">
      <c r="A5" s="29"/>
      <c r="B5" s="34" t="s">
        <v>498</v>
      </c>
      <c r="C5" s="29" t="s">
        <v>9</v>
      </c>
      <c r="D5" s="31">
        <f>'Take off-CB '!I4</f>
        <v>419.49208777777778</v>
      </c>
      <c r="E5" s="347">
        <v>0.15</v>
      </c>
      <c r="F5" s="348">
        <f>(D5*E5)+D5</f>
        <v>482.41590094444445</v>
      </c>
      <c r="G5" s="342">
        <v>0</v>
      </c>
      <c r="H5" s="340">
        <f>G5*F5</f>
        <v>0</v>
      </c>
      <c r="I5" s="340">
        <v>30</v>
      </c>
      <c r="J5" s="341">
        <f>I5*F5</f>
        <v>14472.477028333333</v>
      </c>
      <c r="K5" s="341">
        <f>H5+J5</f>
        <v>14472.477028333333</v>
      </c>
      <c r="L5" s="31"/>
      <c r="M5" s="33"/>
    </row>
    <row r="6" spans="1:14" s="11" customFormat="1" ht="15" customHeight="1" outlineLevel="1" x14ac:dyDescent="0.25">
      <c r="A6" s="29"/>
      <c r="B6" s="34" t="s">
        <v>500</v>
      </c>
      <c r="C6" s="29" t="s">
        <v>9</v>
      </c>
      <c r="D6" s="31">
        <f>'Take off-CB '!I48</f>
        <v>545.33971411111111</v>
      </c>
      <c r="E6" s="347">
        <v>0.2</v>
      </c>
      <c r="F6" s="348">
        <f>(D6*E6)+D6</f>
        <v>654.40765693333333</v>
      </c>
      <c r="G6" s="342">
        <v>24</v>
      </c>
      <c r="H6" s="340">
        <f>G6*F6</f>
        <v>15705.7837664</v>
      </c>
      <c r="I6" s="340">
        <v>10</v>
      </c>
      <c r="J6" s="341">
        <f>I6*F6</f>
        <v>6544.0765693333333</v>
      </c>
      <c r="K6" s="341">
        <f>H6+J6</f>
        <v>22249.860335733334</v>
      </c>
      <c r="L6" s="31"/>
      <c r="M6" s="33"/>
    </row>
    <row r="7" spans="1:14" s="11" customFormat="1" ht="15" customHeight="1" x14ac:dyDescent="0.25">
      <c r="A7" s="20"/>
      <c r="B7" s="38"/>
      <c r="C7" s="20"/>
      <c r="D7" s="21"/>
      <c r="E7" s="21"/>
      <c r="F7" s="21"/>
      <c r="G7" s="342"/>
      <c r="H7" s="340"/>
      <c r="I7" s="340"/>
      <c r="J7" s="341"/>
      <c r="K7" s="341"/>
      <c r="L7" s="21"/>
      <c r="M7" s="23"/>
    </row>
    <row r="8" spans="1:14" s="11" customFormat="1" ht="15" customHeight="1" x14ac:dyDescent="0.25">
      <c r="A8" s="6">
        <v>2</v>
      </c>
      <c r="B8" s="7" t="s">
        <v>203</v>
      </c>
      <c r="C8" s="6"/>
      <c r="D8" s="8"/>
      <c r="E8" s="8"/>
      <c r="F8" s="8"/>
      <c r="G8" s="342"/>
      <c r="H8" s="340"/>
      <c r="I8" s="340"/>
      <c r="J8" s="341"/>
      <c r="K8" s="341"/>
      <c r="L8" s="8"/>
      <c r="M8" s="9"/>
      <c r="N8" s="8"/>
    </row>
    <row r="9" spans="1:14" s="11" customFormat="1" ht="15" customHeight="1" outlineLevel="1" x14ac:dyDescent="0.25">
      <c r="A9" s="29"/>
      <c r="B9" s="34" t="s">
        <v>565</v>
      </c>
      <c r="C9" s="29" t="s">
        <v>368</v>
      </c>
      <c r="D9" s="31">
        <f>'Take off-CB '!I133</f>
        <v>4584</v>
      </c>
      <c r="E9" s="347">
        <v>0.15</v>
      </c>
      <c r="F9" s="348">
        <f>((D9*E9)+D9)/(100*20)</f>
        <v>2.6358000000000001</v>
      </c>
      <c r="G9" s="342">
        <f>118.62</f>
        <v>118.62</v>
      </c>
      <c r="H9" s="340">
        <f>G9*F9</f>
        <v>312.65859600000005</v>
      </c>
      <c r="I9" s="340">
        <v>1</v>
      </c>
      <c r="J9" s="341">
        <f>I9*F9</f>
        <v>2.6358000000000001</v>
      </c>
      <c r="K9" s="341">
        <f t="shared" ref="K9" si="0">J9+H9</f>
        <v>315.29439600000006</v>
      </c>
      <c r="L9" s="31"/>
      <c r="M9" s="33"/>
    </row>
    <row r="10" spans="1:14" s="11" customFormat="1" ht="15" customHeight="1" outlineLevel="1" x14ac:dyDescent="0.25">
      <c r="A10" s="29"/>
      <c r="B10" s="34" t="s">
        <v>501</v>
      </c>
      <c r="C10" s="29" t="s">
        <v>368</v>
      </c>
      <c r="D10" s="31">
        <f>'Take off-CB '!I50</f>
        <v>5106.8500000000004</v>
      </c>
      <c r="E10" s="347">
        <v>0.15</v>
      </c>
      <c r="F10" s="348">
        <f t="shared" ref="F10:F15" si="1">(D10*E10)+D10</f>
        <v>5872.8775000000005</v>
      </c>
      <c r="G10" s="342"/>
      <c r="H10" s="340"/>
      <c r="I10" s="340"/>
      <c r="J10" s="341"/>
      <c r="K10" s="341"/>
      <c r="L10" s="31"/>
      <c r="M10" s="33"/>
    </row>
    <row r="11" spans="1:14" s="11" customFormat="1" ht="15" customHeight="1" outlineLevel="1" x14ac:dyDescent="0.25">
      <c r="A11" s="29"/>
      <c r="B11" s="343" t="s">
        <v>567</v>
      </c>
      <c r="C11" s="29"/>
      <c r="D11" s="31"/>
      <c r="E11" s="347">
        <v>0.05</v>
      </c>
      <c r="F11" s="348">
        <f t="shared" si="1"/>
        <v>0</v>
      </c>
      <c r="G11" s="342"/>
      <c r="H11" s="340"/>
      <c r="I11" s="340"/>
      <c r="J11" s="341"/>
      <c r="K11" s="341">
        <f t="shared" ref="K11:K14" si="2">H11+J11</f>
        <v>0</v>
      </c>
      <c r="L11" s="31"/>
      <c r="M11" s="33"/>
    </row>
    <row r="12" spans="1:14" s="11" customFormat="1" ht="15" customHeight="1" outlineLevel="1" x14ac:dyDescent="0.25">
      <c r="A12" s="29"/>
      <c r="B12" s="34" t="s">
        <v>508</v>
      </c>
      <c r="C12" s="29" t="s">
        <v>9</v>
      </c>
      <c r="D12" s="31">
        <f>'Take off-CB '!I53</f>
        <v>88.438211111111102</v>
      </c>
      <c r="E12" s="347">
        <f>4%</f>
        <v>0.04</v>
      </c>
      <c r="F12" s="348">
        <f t="shared" si="1"/>
        <v>91.975739555555549</v>
      </c>
      <c r="G12" s="342">
        <v>471</v>
      </c>
      <c r="H12" s="340">
        <f>G12*F12</f>
        <v>43320.573330666666</v>
      </c>
      <c r="I12" s="340">
        <v>154</v>
      </c>
      <c r="J12" s="341">
        <f>I12*F12</f>
        <v>14164.263891555554</v>
      </c>
      <c r="K12" s="341">
        <f t="shared" si="2"/>
        <v>57484.837222222224</v>
      </c>
      <c r="L12" s="31"/>
      <c r="M12" s="33"/>
    </row>
    <row r="13" spans="1:14" s="11" customFormat="1" ht="15" customHeight="1" outlineLevel="1" x14ac:dyDescent="0.25">
      <c r="A13" s="29"/>
      <c r="B13" s="34" t="s">
        <v>509</v>
      </c>
      <c r="C13" s="29" t="s">
        <v>9</v>
      </c>
      <c r="D13" s="31">
        <f>'Take off-CB '!I127</f>
        <v>70.504087407407397</v>
      </c>
      <c r="E13" s="347">
        <v>0.02</v>
      </c>
      <c r="F13" s="348">
        <f t="shared" si="1"/>
        <v>71.914169155555541</v>
      </c>
      <c r="G13" s="342">
        <v>220</v>
      </c>
      <c r="H13" s="340">
        <f>G13*F13</f>
        <v>15821.117214222219</v>
      </c>
      <c r="I13" s="340">
        <v>150</v>
      </c>
      <c r="J13" s="341">
        <f>I13*F13</f>
        <v>10787.125373333331</v>
      </c>
      <c r="K13" s="341">
        <f t="shared" si="2"/>
        <v>26608.242587555549</v>
      </c>
      <c r="L13" s="31"/>
      <c r="M13" s="33"/>
    </row>
    <row r="14" spans="1:14" s="11" customFormat="1" ht="15" customHeight="1" outlineLevel="1" x14ac:dyDescent="0.25">
      <c r="A14" s="29"/>
      <c r="B14" s="34" t="s">
        <v>510</v>
      </c>
      <c r="C14" s="29" t="s">
        <v>368</v>
      </c>
      <c r="D14" s="31">
        <f>'Take off-CB '!I130</f>
        <v>5458.2</v>
      </c>
      <c r="E14" s="347">
        <v>0.01</v>
      </c>
      <c r="F14" s="348">
        <f t="shared" si="1"/>
        <v>5512.7820000000002</v>
      </c>
      <c r="G14" s="342"/>
      <c r="H14" s="340"/>
      <c r="I14" s="340"/>
      <c r="J14" s="341"/>
      <c r="K14" s="341">
        <f t="shared" si="2"/>
        <v>0</v>
      </c>
      <c r="L14" s="31"/>
      <c r="M14" s="33"/>
    </row>
    <row r="15" spans="1:14" s="11" customFormat="1" ht="15" customHeight="1" outlineLevel="1" x14ac:dyDescent="0.25">
      <c r="A15" s="29"/>
      <c r="B15" s="34" t="s">
        <v>568</v>
      </c>
      <c r="C15" s="29" t="s">
        <v>368</v>
      </c>
      <c r="D15" s="31">
        <f>'Take off-CB '!E129</f>
        <v>252.63107999999997</v>
      </c>
      <c r="E15" s="347">
        <v>0.02</v>
      </c>
      <c r="F15" s="348">
        <f t="shared" si="1"/>
        <v>257.68370159999995</v>
      </c>
      <c r="G15" s="342"/>
      <c r="H15" s="340"/>
      <c r="I15" s="340"/>
      <c r="J15" s="341"/>
      <c r="K15" s="341"/>
      <c r="L15" s="31"/>
      <c r="M15" s="33"/>
    </row>
    <row r="16" spans="1:14" s="11" customFormat="1" ht="15" customHeight="1" outlineLevel="1" x14ac:dyDescent="0.25">
      <c r="A16" s="29"/>
      <c r="B16" s="34"/>
      <c r="C16" s="29"/>
      <c r="D16" s="31"/>
      <c r="E16" s="31"/>
      <c r="F16" s="31"/>
      <c r="G16" s="342"/>
      <c r="H16" s="340"/>
      <c r="I16" s="340"/>
      <c r="J16" s="341"/>
      <c r="K16" s="341"/>
      <c r="L16" s="31"/>
      <c r="M16" s="33"/>
    </row>
    <row r="17" spans="1:14" s="11" customFormat="1" ht="15" customHeight="1" x14ac:dyDescent="0.25">
      <c r="A17" s="6">
        <v>3</v>
      </c>
      <c r="B17" s="7" t="s">
        <v>511</v>
      </c>
      <c r="C17" s="6"/>
      <c r="D17" s="8"/>
      <c r="E17" s="8"/>
      <c r="F17" s="8"/>
      <c r="G17" s="342"/>
      <c r="H17" s="340"/>
      <c r="I17" s="340"/>
      <c r="J17" s="341"/>
      <c r="K17" s="341"/>
      <c r="L17" s="8"/>
      <c r="M17" s="9"/>
      <c r="N17" s="8"/>
    </row>
    <row r="18" spans="1:14" s="11" customFormat="1" ht="15" customHeight="1" outlineLevel="1" x14ac:dyDescent="0.25">
      <c r="A18" s="29"/>
      <c r="B18" s="332" t="s">
        <v>512</v>
      </c>
      <c r="C18" s="29"/>
      <c r="D18" s="31"/>
      <c r="E18" s="31"/>
      <c r="F18" s="31"/>
      <c r="G18" s="342"/>
      <c r="H18" s="340"/>
      <c r="I18" s="340"/>
      <c r="J18" s="341"/>
      <c r="K18" s="341"/>
      <c r="L18" s="31"/>
      <c r="M18" s="33"/>
    </row>
    <row r="19" spans="1:14" s="11" customFormat="1" ht="15" customHeight="1" outlineLevel="1" x14ac:dyDescent="0.25">
      <c r="A19" s="29"/>
      <c r="B19" s="34" t="s">
        <v>404</v>
      </c>
      <c r="C19" s="29" t="s">
        <v>513</v>
      </c>
      <c r="D19" s="31">
        <f>'Take off-CB '!I180</f>
        <v>3662.0099999999998</v>
      </c>
      <c r="E19" s="31">
        <v>0.03</v>
      </c>
      <c r="F19" s="348">
        <f t="shared" ref="F19:F24" si="3">(D19*E19)+D19</f>
        <v>3771.8702999999996</v>
      </c>
      <c r="G19" s="342">
        <v>0.8</v>
      </c>
      <c r="H19" s="340">
        <f t="shared" ref="H19:H48" si="4">G19*F19</f>
        <v>3017.4962399999999</v>
      </c>
      <c r="I19" s="340">
        <v>0.7</v>
      </c>
      <c r="J19" s="341">
        <f t="shared" ref="J19:J21" si="5">I19*F19</f>
        <v>2640.3092099999994</v>
      </c>
      <c r="K19" s="341">
        <f t="shared" ref="K19:K21" si="6">H19+J19</f>
        <v>5657.8054499999998</v>
      </c>
      <c r="L19" s="31"/>
      <c r="M19" s="33"/>
    </row>
    <row r="20" spans="1:14" s="11" customFormat="1" ht="15" customHeight="1" outlineLevel="1" x14ac:dyDescent="0.25">
      <c r="A20" s="29"/>
      <c r="B20" s="34" t="s">
        <v>514</v>
      </c>
      <c r="C20" s="29" t="s">
        <v>513</v>
      </c>
      <c r="D20" s="31">
        <f>'Central Concrete Deck Slab BBS'!Y51</f>
        <v>13590.999240000001</v>
      </c>
      <c r="E20" s="31">
        <v>0.03</v>
      </c>
      <c r="F20" s="348">
        <f t="shared" si="3"/>
        <v>13998.729217200002</v>
      </c>
      <c r="G20" s="342">
        <v>0.8</v>
      </c>
      <c r="H20" s="340">
        <f t="shared" si="4"/>
        <v>11198.983373760002</v>
      </c>
      <c r="I20" s="340">
        <v>0.7</v>
      </c>
      <c r="J20" s="341">
        <f t="shared" si="5"/>
        <v>9799.1104520400004</v>
      </c>
      <c r="K20" s="341">
        <f t="shared" si="6"/>
        <v>20998.093825800002</v>
      </c>
      <c r="L20" s="31"/>
      <c r="M20" s="33"/>
    </row>
    <row r="21" spans="1:14" s="11" customFormat="1" ht="15" customHeight="1" outlineLevel="1" x14ac:dyDescent="0.25">
      <c r="A21" s="29"/>
      <c r="B21" s="34" t="s">
        <v>515</v>
      </c>
      <c r="C21" s="29" t="s">
        <v>513</v>
      </c>
      <c r="D21" s="31">
        <f>BBS!V999</f>
        <v>21718.722760000019</v>
      </c>
      <c r="E21" s="31">
        <v>0.03</v>
      </c>
      <c r="F21" s="348">
        <f t="shared" si="3"/>
        <v>22370.284442800021</v>
      </c>
      <c r="G21" s="342">
        <v>0.8</v>
      </c>
      <c r="H21" s="340">
        <f t="shared" si="4"/>
        <v>17896.227554240017</v>
      </c>
      <c r="I21" s="340">
        <v>0.7</v>
      </c>
      <c r="J21" s="341">
        <f t="shared" si="5"/>
        <v>15659.199109960013</v>
      </c>
      <c r="K21" s="341">
        <f t="shared" si="6"/>
        <v>33555.426664200029</v>
      </c>
      <c r="L21" s="31"/>
      <c r="M21" s="33"/>
    </row>
    <row r="22" spans="1:14" s="11" customFormat="1" ht="15" customHeight="1" outlineLevel="1" x14ac:dyDescent="0.25">
      <c r="A22" s="29"/>
      <c r="B22" s="332" t="s">
        <v>516</v>
      </c>
      <c r="C22" s="29"/>
      <c r="D22" s="31"/>
      <c r="E22" s="31"/>
      <c r="F22" s="31"/>
      <c r="G22" s="342"/>
      <c r="H22" s="340"/>
      <c r="I22" s="340"/>
      <c r="J22" s="341"/>
      <c r="K22" s="341"/>
      <c r="L22" s="31"/>
      <c r="M22" s="33"/>
    </row>
    <row r="23" spans="1:14" s="11" customFormat="1" ht="15" customHeight="1" outlineLevel="1" x14ac:dyDescent="0.25">
      <c r="A23" s="29"/>
      <c r="B23" s="34" t="s">
        <v>517</v>
      </c>
      <c r="C23" s="29" t="s">
        <v>323</v>
      </c>
      <c r="D23" s="31">
        <f>'Take off-CB '!I193</f>
        <v>33.8109670781893</v>
      </c>
      <c r="E23" s="347">
        <v>0.02</v>
      </c>
      <c r="F23" s="348">
        <f t="shared" si="3"/>
        <v>34.487186419753087</v>
      </c>
      <c r="G23" s="342">
        <v>160</v>
      </c>
      <c r="H23" s="340">
        <f t="shared" si="4"/>
        <v>5517.9498271604934</v>
      </c>
      <c r="I23" s="340"/>
      <c r="J23" s="341">
        <f t="shared" ref="J23:J25" si="7">I23*F23</f>
        <v>0</v>
      </c>
      <c r="K23" s="341">
        <f t="shared" ref="K23:K25" si="8">H23+J23</f>
        <v>5517.9498271604934</v>
      </c>
      <c r="L23" s="31"/>
      <c r="M23" s="34"/>
    </row>
    <row r="24" spans="1:14" s="11" customFormat="1" ht="15" customHeight="1" outlineLevel="1" x14ac:dyDescent="0.25">
      <c r="A24" s="29"/>
      <c r="B24" s="34" t="s">
        <v>518</v>
      </c>
      <c r="C24" s="29" t="s">
        <v>323</v>
      </c>
      <c r="D24" s="31">
        <f>'Take off-CB '!I191</f>
        <v>134.77037037037036</v>
      </c>
      <c r="E24" s="347">
        <v>0.02</v>
      </c>
      <c r="F24" s="348">
        <f t="shared" si="3"/>
        <v>137.46577777777776</v>
      </c>
      <c r="G24" s="342">
        <v>220</v>
      </c>
      <c r="H24" s="340">
        <f t="shared" si="4"/>
        <v>30242.471111111106</v>
      </c>
      <c r="I24" s="340">
        <v>160</v>
      </c>
      <c r="J24" s="341">
        <f t="shared" si="7"/>
        <v>21994.52444444444</v>
      </c>
      <c r="K24" s="341">
        <f t="shared" si="8"/>
        <v>52236.99555555555</v>
      </c>
      <c r="L24" s="31"/>
      <c r="M24" s="33"/>
    </row>
    <row r="25" spans="1:14" s="11" customFormat="1" ht="15" customHeight="1" outlineLevel="1" x14ac:dyDescent="0.25">
      <c r="A25" s="29"/>
      <c r="B25" s="34" t="s">
        <v>571</v>
      </c>
      <c r="C25" s="34" t="s">
        <v>368</v>
      </c>
      <c r="D25" s="31">
        <f>'Take off-CB '!I115</f>
        <v>1232.48</v>
      </c>
      <c r="E25" s="347">
        <v>0.03</v>
      </c>
      <c r="F25" s="348">
        <f t="shared" ref="F25" si="9">(D25*E25)+D25</f>
        <v>1269.4544000000001</v>
      </c>
      <c r="G25" s="342">
        <v>5</v>
      </c>
      <c r="H25" s="340">
        <f t="shared" si="4"/>
        <v>6347.2720000000008</v>
      </c>
      <c r="I25" s="340">
        <v>2</v>
      </c>
      <c r="J25" s="341">
        <f t="shared" si="7"/>
        <v>2538.9088000000002</v>
      </c>
      <c r="K25" s="341">
        <f t="shared" si="8"/>
        <v>8886.1808000000019</v>
      </c>
      <c r="L25" s="31"/>
      <c r="M25" s="33"/>
    </row>
    <row r="26" spans="1:14" s="11" customFormat="1" ht="15" customHeight="1" outlineLevel="1" x14ac:dyDescent="0.25">
      <c r="A26" s="29"/>
      <c r="C26" s="29"/>
      <c r="D26" s="31"/>
      <c r="E26" s="348"/>
      <c r="F26" s="348"/>
      <c r="G26" s="342"/>
      <c r="H26" s="340"/>
      <c r="I26" s="340"/>
      <c r="J26" s="341"/>
      <c r="K26" s="341"/>
      <c r="L26" s="31"/>
      <c r="M26" s="33"/>
    </row>
    <row r="27" spans="1:14" s="11" customFormat="1" ht="15" customHeight="1" outlineLevel="1" x14ac:dyDescent="0.25">
      <c r="A27" s="29"/>
      <c r="B27" s="332" t="s">
        <v>519</v>
      </c>
      <c r="C27" s="29"/>
      <c r="D27" s="31"/>
      <c r="E27" s="31"/>
      <c r="F27" s="31"/>
      <c r="G27" s="342"/>
      <c r="H27" s="340">
        <f t="shared" si="4"/>
        <v>0</v>
      </c>
      <c r="I27" s="340"/>
      <c r="J27" s="341"/>
      <c r="K27" s="341"/>
      <c r="L27" s="31"/>
      <c r="M27" s="33"/>
    </row>
    <row r="28" spans="1:14" s="11" customFormat="1" ht="15" customHeight="1" outlineLevel="1" x14ac:dyDescent="0.25">
      <c r="A28" s="29"/>
      <c r="B28" s="269" t="s">
        <v>479</v>
      </c>
      <c r="C28" s="29" t="s">
        <v>368</v>
      </c>
      <c r="D28" s="31">
        <f>SUMIF('Take off-CB '!$B:$B,'CB BOQ'!B28,'Take off-CB '!I:I)</f>
        <v>1075.3999999999999</v>
      </c>
      <c r="E28" s="347">
        <v>0.01</v>
      </c>
      <c r="F28" s="348">
        <f t="shared" ref="F28:F48" si="10">(D28*E28)+D28</f>
        <v>1086.1539999999998</v>
      </c>
      <c r="G28" s="342">
        <v>2</v>
      </c>
      <c r="H28" s="340">
        <f t="shared" si="4"/>
        <v>2172.3079999999995</v>
      </c>
      <c r="I28" s="340">
        <v>0.32</v>
      </c>
      <c r="J28" s="341">
        <f t="shared" ref="J28:J36" si="11">I28*F28</f>
        <v>347.56927999999994</v>
      </c>
      <c r="K28" s="341">
        <f t="shared" ref="K28:K36" si="12">H28+J28</f>
        <v>2519.8772799999997</v>
      </c>
      <c r="L28" s="31"/>
      <c r="M28" s="33"/>
    </row>
    <row r="29" spans="1:14" s="11" customFormat="1" ht="15" customHeight="1" outlineLevel="1" x14ac:dyDescent="0.25">
      <c r="A29" s="29"/>
      <c r="B29" s="269" t="s">
        <v>480</v>
      </c>
      <c r="C29" s="29" t="s">
        <v>368</v>
      </c>
      <c r="D29" s="31">
        <f>SUMIF('Take off-CB '!$B:$B,'CB BOQ'!B29,'Take off-CB '!I:I)</f>
        <v>617</v>
      </c>
      <c r="E29" s="347">
        <v>0.01</v>
      </c>
      <c r="F29" s="348">
        <f t="shared" si="10"/>
        <v>623.16999999999996</v>
      </c>
      <c r="G29" s="342">
        <v>45</v>
      </c>
      <c r="H29" s="340">
        <f t="shared" si="4"/>
        <v>28042.649999999998</v>
      </c>
      <c r="I29" s="340">
        <v>0.41</v>
      </c>
      <c r="J29" s="341">
        <f t="shared" si="11"/>
        <v>255.49969999999996</v>
      </c>
      <c r="K29" s="341">
        <f t="shared" si="12"/>
        <v>28298.149699999998</v>
      </c>
      <c r="L29" s="31"/>
      <c r="M29" s="33"/>
    </row>
    <row r="30" spans="1:14" s="11" customFormat="1" ht="15" customHeight="1" outlineLevel="1" x14ac:dyDescent="0.25">
      <c r="A30" s="29"/>
      <c r="B30" s="269" t="s">
        <v>481</v>
      </c>
      <c r="C30" s="29" t="s">
        <v>483</v>
      </c>
      <c r="D30" s="31">
        <f>SUMIF('Take off-CB '!$B:$B,'CB BOQ'!B30,'Take off-CB '!I:I)</f>
        <v>480</v>
      </c>
      <c r="E30" s="347">
        <v>0.01</v>
      </c>
      <c r="F30" s="348">
        <f t="shared" si="10"/>
        <v>484.8</v>
      </c>
      <c r="G30" s="342">
        <v>4.3600000000000003</v>
      </c>
      <c r="H30" s="340">
        <f t="shared" si="4"/>
        <v>2113.7280000000001</v>
      </c>
      <c r="I30" s="340">
        <v>0.32</v>
      </c>
      <c r="J30" s="341">
        <f t="shared" si="11"/>
        <v>155.136</v>
      </c>
      <c r="K30" s="341">
        <f t="shared" si="12"/>
        <v>2268.864</v>
      </c>
      <c r="L30" s="31"/>
      <c r="M30" s="33"/>
    </row>
    <row r="31" spans="1:14" s="11" customFormat="1" ht="15" customHeight="1" outlineLevel="1" x14ac:dyDescent="0.25">
      <c r="A31" s="29"/>
      <c r="B31" s="269" t="s">
        <v>482</v>
      </c>
      <c r="C31" s="29" t="s">
        <v>483</v>
      </c>
      <c r="D31" s="31">
        <f>SUMIF('Take off-CB '!$B:$B,'CB BOQ'!B31,'Take off-CB '!I:I)</f>
        <v>194.48999999999998</v>
      </c>
      <c r="E31" s="347">
        <v>0.01</v>
      </c>
      <c r="F31" s="348">
        <f t="shared" si="10"/>
        <v>196.43489999999997</v>
      </c>
      <c r="G31" s="342">
        <v>5</v>
      </c>
      <c r="H31" s="340">
        <f t="shared" si="4"/>
        <v>982.17449999999985</v>
      </c>
      <c r="I31" s="340">
        <v>0.32</v>
      </c>
      <c r="J31" s="341">
        <f t="shared" si="11"/>
        <v>62.85916799999999</v>
      </c>
      <c r="K31" s="341">
        <f t="shared" si="12"/>
        <v>1045.0336679999998</v>
      </c>
      <c r="L31" s="31"/>
      <c r="M31" s="33"/>
    </row>
    <row r="32" spans="1:14" s="11" customFormat="1" ht="15" customHeight="1" outlineLevel="1" x14ac:dyDescent="0.25">
      <c r="A32" s="29"/>
      <c r="B32" s="269" t="s">
        <v>487</v>
      </c>
      <c r="C32" s="29" t="s">
        <v>368</v>
      </c>
      <c r="D32" s="31">
        <f>SUMIF('Take off-CB '!$B:$B,'CB BOQ'!B32,'Take off-CB '!I:I)</f>
        <v>1173.3999999999999</v>
      </c>
      <c r="E32" s="347">
        <v>0.01</v>
      </c>
      <c r="F32" s="348">
        <f t="shared" si="10"/>
        <v>1185.1339999999998</v>
      </c>
      <c r="G32" s="342">
        <v>19</v>
      </c>
      <c r="H32" s="340">
        <f t="shared" si="4"/>
        <v>22517.545999999995</v>
      </c>
      <c r="I32" s="340">
        <v>0.32</v>
      </c>
      <c r="J32" s="341">
        <f t="shared" si="11"/>
        <v>379.24287999999996</v>
      </c>
      <c r="K32" s="341">
        <f t="shared" si="12"/>
        <v>22896.788879999996</v>
      </c>
      <c r="L32" s="31"/>
      <c r="M32" s="33"/>
    </row>
    <row r="33" spans="1:13" s="11" customFormat="1" ht="15" customHeight="1" outlineLevel="1" x14ac:dyDescent="0.25">
      <c r="A33" s="29"/>
      <c r="B33" s="269" t="s">
        <v>488</v>
      </c>
      <c r="C33" s="29" t="s">
        <v>368</v>
      </c>
      <c r="D33" s="31">
        <f>SUMIF('Take off-CB '!$B:$B,'CB BOQ'!B33,'Take off-CB '!I:I)</f>
        <v>1173.3999999999999</v>
      </c>
      <c r="E33" s="347">
        <v>0.01</v>
      </c>
      <c r="F33" s="348">
        <f t="shared" si="10"/>
        <v>1185.1339999999998</v>
      </c>
      <c r="G33" s="342">
        <v>5</v>
      </c>
      <c r="H33" s="340">
        <f t="shared" si="4"/>
        <v>5925.6699999999992</v>
      </c>
      <c r="I33" s="340">
        <v>0.36</v>
      </c>
      <c r="J33" s="341">
        <f t="shared" si="11"/>
        <v>426.64823999999993</v>
      </c>
      <c r="K33" s="341">
        <f t="shared" si="12"/>
        <v>6352.3182399999987</v>
      </c>
      <c r="L33" s="31"/>
      <c r="M33" s="33"/>
    </row>
    <row r="34" spans="1:13" s="11" customFormat="1" ht="15" customHeight="1" outlineLevel="1" x14ac:dyDescent="0.25">
      <c r="A34" s="29"/>
      <c r="B34" s="269" t="s">
        <v>489</v>
      </c>
      <c r="C34" s="29" t="s">
        <v>483</v>
      </c>
      <c r="D34" s="31">
        <f>SUMIF('Take off-CB '!$B:$B,'CB BOQ'!B34,'Take off-CB '!I:I)</f>
        <v>460</v>
      </c>
      <c r="E34" s="347">
        <v>0.01</v>
      </c>
      <c r="F34" s="348">
        <f t="shared" si="10"/>
        <v>464.6</v>
      </c>
      <c r="G34" s="342">
        <v>12</v>
      </c>
      <c r="H34" s="340">
        <f t="shared" si="4"/>
        <v>5575.2000000000007</v>
      </c>
      <c r="I34" s="340">
        <v>0.32</v>
      </c>
      <c r="J34" s="341">
        <f t="shared" si="11"/>
        <v>148.672</v>
      </c>
      <c r="K34" s="341">
        <f t="shared" si="12"/>
        <v>5723.8720000000003</v>
      </c>
      <c r="L34" s="31"/>
      <c r="M34" s="33"/>
    </row>
    <row r="35" spans="1:13" s="11" customFormat="1" ht="15" customHeight="1" outlineLevel="1" x14ac:dyDescent="0.25">
      <c r="A35" s="29"/>
      <c r="B35" s="269" t="s">
        <v>490</v>
      </c>
      <c r="C35" s="29" t="s">
        <v>483</v>
      </c>
      <c r="D35" s="31">
        <f>SUMIF('Take off-CB '!$B:$B,'CB BOQ'!B35,'Take off-CB '!I:I)</f>
        <v>293.34999999999997</v>
      </c>
      <c r="E35" s="347">
        <v>0.01</v>
      </c>
      <c r="F35" s="348">
        <f t="shared" si="10"/>
        <v>296.28349999999995</v>
      </c>
      <c r="G35" s="342">
        <v>10</v>
      </c>
      <c r="H35" s="340">
        <f t="shared" si="4"/>
        <v>2962.8349999999996</v>
      </c>
      <c r="I35" s="340">
        <v>0.41</v>
      </c>
      <c r="J35" s="341">
        <f t="shared" si="11"/>
        <v>121.47623499999997</v>
      </c>
      <c r="K35" s="341">
        <f t="shared" si="12"/>
        <v>3084.3112349999997</v>
      </c>
      <c r="L35" s="31"/>
      <c r="M35" s="33"/>
    </row>
    <row r="36" spans="1:13" s="11" customFormat="1" ht="15" customHeight="1" outlineLevel="1" x14ac:dyDescent="0.25">
      <c r="A36" s="29"/>
      <c r="B36" s="269" t="s">
        <v>491</v>
      </c>
      <c r="C36" s="29" t="s">
        <v>368</v>
      </c>
      <c r="D36" s="31">
        <f>SUMIF('Take off-CB '!$B:$B,'CB BOQ'!B36,'Take off-CB '!I:I)</f>
        <v>586.69999999999993</v>
      </c>
      <c r="E36" s="347">
        <v>0.01</v>
      </c>
      <c r="F36" s="348">
        <f t="shared" si="10"/>
        <v>592.56699999999989</v>
      </c>
      <c r="G36" s="342">
        <v>50</v>
      </c>
      <c r="H36" s="340">
        <f t="shared" si="4"/>
        <v>29628.349999999995</v>
      </c>
      <c r="I36" s="340">
        <v>0.93</v>
      </c>
      <c r="J36" s="341">
        <f t="shared" si="11"/>
        <v>551.08730999999989</v>
      </c>
      <c r="K36" s="341">
        <f t="shared" si="12"/>
        <v>30179.437309999994</v>
      </c>
      <c r="L36" s="31"/>
      <c r="M36" s="33"/>
    </row>
    <row r="37" spans="1:13" s="11" customFormat="1" ht="15" customHeight="1" outlineLevel="1" x14ac:dyDescent="0.25">
      <c r="A37" s="29"/>
      <c r="B37" s="333"/>
      <c r="C37" s="29"/>
      <c r="D37" s="31"/>
      <c r="E37" s="31"/>
      <c r="F37" s="31"/>
      <c r="G37" s="342"/>
      <c r="H37" s="340"/>
      <c r="I37" s="340"/>
      <c r="J37" s="341">
        <f t="shared" ref="J37:J49" si="13">I37*F37</f>
        <v>0</v>
      </c>
      <c r="K37" s="341">
        <f t="shared" ref="K37:K49" si="14">H37+J37</f>
        <v>0</v>
      </c>
      <c r="L37" s="31"/>
      <c r="M37" s="33"/>
    </row>
    <row r="38" spans="1:13" s="11" customFormat="1" ht="15" customHeight="1" outlineLevel="1" x14ac:dyDescent="0.25">
      <c r="A38" s="29"/>
      <c r="B38" s="269" t="s">
        <v>573</v>
      </c>
      <c r="C38" s="29" t="s">
        <v>538</v>
      </c>
      <c r="D38" s="31">
        <v>1</v>
      </c>
      <c r="E38" s="347">
        <v>0.01</v>
      </c>
      <c r="F38" s="348">
        <f t="shared" si="10"/>
        <v>1.01</v>
      </c>
      <c r="G38" s="342">
        <v>65.5</v>
      </c>
      <c r="H38" s="340">
        <f t="shared" si="4"/>
        <v>66.155000000000001</v>
      </c>
      <c r="I38" s="340"/>
      <c r="J38" s="341">
        <f t="shared" si="13"/>
        <v>0</v>
      </c>
      <c r="K38" s="341">
        <f t="shared" si="14"/>
        <v>66.155000000000001</v>
      </c>
      <c r="L38" s="31"/>
      <c r="M38" s="33"/>
    </row>
    <row r="39" spans="1:13" s="11" customFormat="1" ht="15" customHeight="1" outlineLevel="1" x14ac:dyDescent="0.25">
      <c r="A39" s="29"/>
      <c r="B39" s="269" t="s">
        <v>535</v>
      </c>
      <c r="C39" s="29" t="s">
        <v>538</v>
      </c>
      <c r="D39" s="31">
        <v>2</v>
      </c>
      <c r="E39" s="347">
        <v>0.1</v>
      </c>
      <c r="F39" s="348">
        <f t="shared" si="10"/>
        <v>2.2000000000000002</v>
      </c>
      <c r="G39" s="342">
        <v>119</v>
      </c>
      <c r="H39" s="340">
        <f t="shared" si="4"/>
        <v>261.8</v>
      </c>
      <c r="I39" s="340"/>
      <c r="J39" s="341">
        <f t="shared" si="13"/>
        <v>0</v>
      </c>
      <c r="K39" s="341">
        <f t="shared" si="14"/>
        <v>261.8</v>
      </c>
      <c r="L39" s="31"/>
      <c r="M39" s="33"/>
    </row>
    <row r="40" spans="1:13" s="11" customFormat="1" ht="15" customHeight="1" outlineLevel="1" x14ac:dyDescent="0.25">
      <c r="A40" s="29"/>
      <c r="B40" s="269" t="s">
        <v>536</v>
      </c>
      <c r="C40" s="29" t="s">
        <v>538</v>
      </c>
      <c r="D40" s="31">
        <v>1</v>
      </c>
      <c r="E40" s="347">
        <v>0.1</v>
      </c>
      <c r="F40" s="348">
        <f t="shared" si="10"/>
        <v>1.1000000000000001</v>
      </c>
      <c r="G40" s="342">
        <v>73.5</v>
      </c>
      <c r="H40" s="340">
        <f t="shared" si="4"/>
        <v>80.850000000000009</v>
      </c>
      <c r="I40" s="340"/>
      <c r="J40" s="341">
        <f t="shared" si="13"/>
        <v>0</v>
      </c>
      <c r="K40" s="341">
        <f t="shared" si="14"/>
        <v>80.850000000000009</v>
      </c>
      <c r="L40" s="31"/>
      <c r="M40" s="33"/>
    </row>
    <row r="41" spans="1:13" s="11" customFormat="1" ht="15" customHeight="1" outlineLevel="1" x14ac:dyDescent="0.25">
      <c r="A41" s="29"/>
      <c r="B41" s="269" t="s">
        <v>536</v>
      </c>
      <c r="C41" s="29" t="s">
        <v>538</v>
      </c>
      <c r="D41" s="31">
        <v>2</v>
      </c>
      <c r="E41" s="347">
        <v>0.1</v>
      </c>
      <c r="F41" s="348">
        <f t="shared" si="10"/>
        <v>2.2000000000000002</v>
      </c>
      <c r="G41" s="342">
        <v>73.5</v>
      </c>
      <c r="H41" s="340">
        <f t="shared" si="4"/>
        <v>161.70000000000002</v>
      </c>
      <c r="I41" s="340"/>
      <c r="J41" s="341">
        <f t="shared" si="13"/>
        <v>0</v>
      </c>
      <c r="K41" s="341">
        <f t="shared" si="14"/>
        <v>161.70000000000002</v>
      </c>
      <c r="L41" s="31"/>
      <c r="M41" s="33"/>
    </row>
    <row r="42" spans="1:13" s="11" customFormat="1" ht="15" customHeight="1" outlineLevel="1" x14ac:dyDescent="0.25">
      <c r="A42" s="29"/>
      <c r="B42" s="269" t="s">
        <v>537</v>
      </c>
      <c r="C42" s="29" t="s">
        <v>538</v>
      </c>
      <c r="D42" s="31">
        <v>3</v>
      </c>
      <c r="E42" s="347">
        <v>0.1</v>
      </c>
      <c r="F42" s="348">
        <f t="shared" si="10"/>
        <v>3.3</v>
      </c>
      <c r="G42" s="342">
        <v>67.5</v>
      </c>
      <c r="H42" s="340">
        <f t="shared" si="4"/>
        <v>222.75</v>
      </c>
      <c r="I42" s="340"/>
      <c r="J42" s="341">
        <f t="shared" si="13"/>
        <v>0</v>
      </c>
      <c r="K42" s="341">
        <f t="shared" si="14"/>
        <v>222.75</v>
      </c>
      <c r="L42" s="31"/>
      <c r="M42" s="33"/>
    </row>
    <row r="43" spans="1:13" s="11" customFormat="1" ht="15" customHeight="1" outlineLevel="1" x14ac:dyDescent="0.25">
      <c r="A43" s="29"/>
      <c r="B43" s="269" t="s">
        <v>574</v>
      </c>
      <c r="C43" s="29" t="s">
        <v>19</v>
      </c>
      <c r="D43" s="31">
        <v>3</v>
      </c>
      <c r="E43" s="347">
        <v>0.1</v>
      </c>
      <c r="F43" s="348">
        <f t="shared" si="10"/>
        <v>3.3</v>
      </c>
      <c r="G43" s="342">
        <v>5.33</v>
      </c>
      <c r="H43" s="340">
        <f t="shared" si="4"/>
        <v>17.588999999999999</v>
      </c>
      <c r="I43" s="340"/>
      <c r="J43" s="341">
        <f t="shared" si="13"/>
        <v>0</v>
      </c>
      <c r="K43" s="341">
        <f t="shared" si="14"/>
        <v>17.588999999999999</v>
      </c>
      <c r="L43" s="31"/>
      <c r="M43" s="33"/>
    </row>
    <row r="44" spans="1:13" s="11" customFormat="1" ht="15" customHeight="1" outlineLevel="1" x14ac:dyDescent="0.25">
      <c r="A44" s="29"/>
      <c r="B44" s="269" t="s">
        <v>575</v>
      </c>
      <c r="C44" s="29" t="s">
        <v>19</v>
      </c>
      <c r="D44" s="31">
        <v>5</v>
      </c>
      <c r="E44" s="347">
        <v>0.1</v>
      </c>
      <c r="F44" s="348">
        <f t="shared" si="10"/>
        <v>5.5</v>
      </c>
      <c r="G44" s="342">
        <v>4.2</v>
      </c>
      <c r="H44" s="340">
        <f t="shared" si="4"/>
        <v>23.1</v>
      </c>
      <c r="I44" s="340"/>
      <c r="J44" s="341">
        <f t="shared" si="13"/>
        <v>0</v>
      </c>
      <c r="K44" s="341">
        <f t="shared" si="14"/>
        <v>23.1</v>
      </c>
      <c r="L44" s="31"/>
      <c r="M44" s="33"/>
    </row>
    <row r="45" spans="1:13" s="11" customFormat="1" ht="15" customHeight="1" outlineLevel="1" x14ac:dyDescent="0.25">
      <c r="A45" s="29"/>
      <c r="B45" s="269" t="s">
        <v>576</v>
      </c>
      <c r="C45" s="29" t="s">
        <v>580</v>
      </c>
      <c r="D45" s="31">
        <f>SUM(D28:D36)/300*18</f>
        <v>363.22439999999995</v>
      </c>
      <c r="E45" s="347">
        <v>0.05</v>
      </c>
      <c r="F45" s="348">
        <f t="shared" si="10"/>
        <v>381.38561999999996</v>
      </c>
      <c r="G45" s="342">
        <v>0.49944444444444447</v>
      </c>
      <c r="H45" s="340">
        <f t="shared" si="4"/>
        <v>190.4809291</v>
      </c>
      <c r="I45" s="340"/>
      <c r="J45" s="341">
        <f t="shared" si="13"/>
        <v>0</v>
      </c>
      <c r="K45" s="341">
        <f t="shared" si="14"/>
        <v>190.4809291</v>
      </c>
      <c r="L45" s="31"/>
      <c r="M45" s="33"/>
    </row>
    <row r="46" spans="1:13" s="11" customFormat="1" ht="15" customHeight="1" outlineLevel="1" x14ac:dyDescent="0.25">
      <c r="A46" s="29"/>
      <c r="B46" s="269" t="s">
        <v>577</v>
      </c>
      <c r="C46" s="29" t="s">
        <v>538</v>
      </c>
      <c r="D46" s="31">
        <v>3</v>
      </c>
      <c r="E46" s="347">
        <v>0.01</v>
      </c>
      <c r="F46" s="348">
        <f t="shared" si="10"/>
        <v>3.03</v>
      </c>
      <c r="G46" s="342">
        <v>18.899999999999999</v>
      </c>
      <c r="H46" s="340">
        <f t="shared" si="4"/>
        <v>57.266999999999989</v>
      </c>
      <c r="I46" s="340"/>
      <c r="J46" s="341">
        <f t="shared" si="13"/>
        <v>0</v>
      </c>
      <c r="K46" s="341">
        <f t="shared" si="14"/>
        <v>57.266999999999989</v>
      </c>
      <c r="L46" s="31"/>
      <c r="M46" s="33"/>
    </row>
    <row r="47" spans="1:13" s="11" customFormat="1" ht="15" customHeight="1" outlineLevel="1" x14ac:dyDescent="0.25">
      <c r="A47" s="29"/>
      <c r="B47" s="269" t="s">
        <v>578</v>
      </c>
      <c r="C47" s="29" t="s">
        <v>538</v>
      </c>
      <c r="D47" s="31">
        <v>1</v>
      </c>
      <c r="E47" s="347">
        <v>0.01</v>
      </c>
      <c r="F47" s="348">
        <f t="shared" si="10"/>
        <v>1.01</v>
      </c>
      <c r="G47" s="342">
        <v>19</v>
      </c>
      <c r="H47" s="340">
        <f t="shared" si="4"/>
        <v>19.190000000000001</v>
      </c>
      <c r="I47" s="340"/>
      <c r="J47" s="341">
        <f t="shared" si="13"/>
        <v>0</v>
      </c>
      <c r="K47" s="341">
        <f t="shared" si="14"/>
        <v>19.190000000000001</v>
      </c>
      <c r="L47" s="31"/>
      <c r="M47" s="33"/>
    </row>
    <row r="48" spans="1:13" s="11" customFormat="1" ht="15" customHeight="1" outlineLevel="1" x14ac:dyDescent="0.25">
      <c r="A48" s="29"/>
      <c r="B48" s="269" t="s">
        <v>579</v>
      </c>
      <c r="C48" s="29" t="s">
        <v>19</v>
      </c>
      <c r="D48" s="31">
        <v>5</v>
      </c>
      <c r="E48" s="347">
        <v>0.01</v>
      </c>
      <c r="F48" s="348">
        <f t="shared" si="10"/>
        <v>5.05</v>
      </c>
      <c r="G48" s="342">
        <v>2.0499999999999998</v>
      </c>
      <c r="H48" s="340">
        <f t="shared" si="4"/>
        <v>10.352499999999999</v>
      </c>
      <c r="I48" s="340"/>
      <c r="J48" s="341">
        <f t="shared" si="13"/>
        <v>0</v>
      </c>
      <c r="K48" s="341">
        <f t="shared" si="14"/>
        <v>10.352499999999999</v>
      </c>
      <c r="L48" s="31"/>
      <c r="M48" s="33"/>
    </row>
    <row r="49" spans="1:13" s="11" customFormat="1" ht="15" customHeight="1" outlineLevel="1" x14ac:dyDescent="0.25">
      <c r="A49" s="29"/>
      <c r="B49" s="333"/>
      <c r="C49" s="29"/>
      <c r="D49" s="31"/>
      <c r="E49" s="31"/>
      <c r="F49" s="31"/>
      <c r="G49" s="342"/>
      <c r="H49" s="340"/>
      <c r="I49" s="340"/>
      <c r="J49" s="341">
        <f t="shared" si="13"/>
        <v>0</v>
      </c>
      <c r="K49" s="341">
        <f t="shared" si="14"/>
        <v>0</v>
      </c>
      <c r="L49" s="31"/>
      <c r="M49" s="33"/>
    </row>
    <row r="50" spans="1:13" ht="15" customHeight="1" x14ac:dyDescent="0.25">
      <c r="A50" s="16"/>
      <c r="B50" s="254" t="s">
        <v>390</v>
      </c>
      <c r="C50" s="16"/>
      <c r="D50" s="17"/>
      <c r="E50" s="17"/>
      <c r="F50" s="17"/>
      <c r="G50" s="342"/>
      <c r="H50" s="340"/>
      <c r="I50" s="340"/>
      <c r="J50" s="341"/>
      <c r="K50" s="341"/>
      <c r="L50" s="17"/>
      <c r="M50" s="78"/>
    </row>
    <row r="51" spans="1:13" ht="15" customHeight="1" x14ac:dyDescent="0.25">
      <c r="A51" s="16"/>
      <c r="B51" s="269" t="s">
        <v>529</v>
      </c>
      <c r="C51" s="29" t="s">
        <v>368</v>
      </c>
      <c r="D51" s="17">
        <f>'Take off-CB '!I369</f>
        <v>4239.5</v>
      </c>
      <c r="E51" s="347">
        <v>0.1</v>
      </c>
      <c r="F51" s="348">
        <f t="shared" ref="F51:F61" si="15">(D51*E51)+D51</f>
        <v>4663.45</v>
      </c>
      <c r="G51" s="342">
        <v>2</v>
      </c>
      <c r="H51" s="340">
        <f t="shared" ref="H51:H74" si="16">G51*F51</f>
        <v>9326.9</v>
      </c>
      <c r="I51" s="340">
        <v>0.32</v>
      </c>
      <c r="J51" s="341">
        <f t="shared" ref="J51:J55" si="17">I51*F51</f>
        <v>1492.3039999999999</v>
      </c>
      <c r="K51" s="341">
        <f t="shared" ref="K51:K55" si="18">H51+J51</f>
        <v>10819.204</v>
      </c>
      <c r="L51" s="17"/>
      <c r="M51" s="78"/>
    </row>
    <row r="52" spans="1:13" ht="15" customHeight="1" x14ac:dyDescent="0.25">
      <c r="A52" s="16"/>
      <c r="B52" s="269" t="s">
        <v>530</v>
      </c>
      <c r="C52" s="29" t="s">
        <v>368</v>
      </c>
      <c r="D52" s="17">
        <f>'Take off-CB '!I369</f>
        <v>4239.5</v>
      </c>
      <c r="E52" s="347">
        <v>0.1</v>
      </c>
      <c r="F52" s="348">
        <f t="shared" si="15"/>
        <v>4663.45</v>
      </c>
      <c r="G52" s="342">
        <v>1.2</v>
      </c>
      <c r="H52" s="340">
        <f t="shared" si="16"/>
        <v>5596.1399999999994</v>
      </c>
      <c r="I52" s="340">
        <v>0.36</v>
      </c>
      <c r="J52" s="341">
        <f t="shared" si="17"/>
        <v>1678.8419999999999</v>
      </c>
      <c r="K52" s="341">
        <f t="shared" si="18"/>
        <v>7274.9819999999991</v>
      </c>
      <c r="L52" s="17"/>
      <c r="M52" s="78"/>
    </row>
    <row r="53" spans="1:13" ht="15" customHeight="1" x14ac:dyDescent="0.25">
      <c r="A53" s="16"/>
      <c r="B53" s="269" t="s">
        <v>531</v>
      </c>
      <c r="C53" s="29" t="s">
        <v>483</v>
      </c>
      <c r="D53" s="17">
        <f>D52/1.4</f>
        <v>3028.2142857142858</v>
      </c>
      <c r="E53" s="347">
        <v>0.05</v>
      </c>
      <c r="F53" s="348">
        <f t="shared" si="15"/>
        <v>3179.625</v>
      </c>
      <c r="G53" s="342">
        <v>2.2999999999999998</v>
      </c>
      <c r="H53" s="340">
        <f t="shared" si="16"/>
        <v>7313.1374999999998</v>
      </c>
      <c r="I53" s="340">
        <v>0.69</v>
      </c>
      <c r="J53" s="341">
        <f t="shared" si="17"/>
        <v>2193.9412499999999</v>
      </c>
      <c r="K53" s="341">
        <f t="shared" si="18"/>
        <v>9507.0787500000006</v>
      </c>
      <c r="L53" s="17"/>
      <c r="M53" s="78"/>
    </row>
    <row r="54" spans="1:13" ht="15" customHeight="1" x14ac:dyDescent="0.25">
      <c r="A54" s="16"/>
      <c r="B54" s="269" t="s">
        <v>532</v>
      </c>
      <c r="C54" s="29" t="s">
        <v>483</v>
      </c>
      <c r="D54" s="17">
        <f>D52/1.5</f>
        <v>2826.3333333333335</v>
      </c>
      <c r="E54" s="347">
        <v>0.1</v>
      </c>
      <c r="F54" s="348">
        <f t="shared" si="15"/>
        <v>3108.9666666666667</v>
      </c>
      <c r="G54" s="342">
        <v>2.2999999999999998</v>
      </c>
      <c r="H54" s="340">
        <f t="shared" si="16"/>
        <v>7150.623333333333</v>
      </c>
      <c r="I54" s="340">
        <v>0.69</v>
      </c>
      <c r="J54" s="341">
        <f t="shared" si="17"/>
        <v>2145.1869999999999</v>
      </c>
      <c r="K54" s="341">
        <f t="shared" si="18"/>
        <v>9295.8103333333329</v>
      </c>
      <c r="L54" s="17"/>
      <c r="M54" s="78"/>
    </row>
    <row r="55" spans="1:13" ht="15" customHeight="1" x14ac:dyDescent="0.25">
      <c r="A55" s="16"/>
      <c r="B55" s="269" t="s">
        <v>533</v>
      </c>
      <c r="C55" s="29" t="s">
        <v>513</v>
      </c>
      <c r="D55" s="17">
        <f>D51*0.9</f>
        <v>3815.55</v>
      </c>
      <c r="E55" s="347">
        <v>0.1</v>
      </c>
      <c r="F55" s="348">
        <f t="shared" si="15"/>
        <v>4197.1050000000005</v>
      </c>
      <c r="G55" s="342">
        <v>5</v>
      </c>
      <c r="H55" s="340">
        <f t="shared" si="16"/>
        <v>20985.525000000001</v>
      </c>
      <c r="I55" s="340">
        <v>1.5</v>
      </c>
      <c r="J55" s="341">
        <f t="shared" si="17"/>
        <v>6295.6575000000012</v>
      </c>
      <c r="K55" s="341">
        <f t="shared" si="18"/>
        <v>27281.182500000003</v>
      </c>
      <c r="L55" s="17"/>
      <c r="M55" s="78"/>
    </row>
    <row r="56" spans="1:13" ht="15" customHeight="1" x14ac:dyDescent="0.25">
      <c r="A56" s="16"/>
      <c r="B56" s="269" t="s">
        <v>534</v>
      </c>
      <c r="C56" s="29" t="s">
        <v>513</v>
      </c>
      <c r="D56" s="17">
        <f>D51/300*18</f>
        <v>254.36999999999998</v>
      </c>
      <c r="E56" s="347">
        <v>0.1</v>
      </c>
      <c r="F56" s="348">
        <f t="shared" si="15"/>
        <v>279.80699999999996</v>
      </c>
      <c r="G56" s="342">
        <v>0.49944444444444447</v>
      </c>
      <c r="H56" s="340">
        <f t="shared" si="16"/>
        <v>139.74805166666664</v>
      </c>
      <c r="I56" s="340"/>
      <c r="J56" s="341">
        <f t="shared" ref="J56:J61" si="19">I56*F56</f>
        <v>0</v>
      </c>
      <c r="K56" s="341">
        <f t="shared" ref="K56:K61" si="20">H56+J56</f>
        <v>139.74805166666664</v>
      </c>
      <c r="L56" s="17"/>
      <c r="M56" s="78"/>
    </row>
    <row r="57" spans="1:13" ht="15" customHeight="1" x14ac:dyDescent="0.25">
      <c r="A57" s="16"/>
      <c r="B57" s="269" t="s">
        <v>535</v>
      </c>
      <c r="C57" s="29" t="s">
        <v>538</v>
      </c>
      <c r="D57" s="17">
        <v>3</v>
      </c>
      <c r="E57" s="347">
        <v>0.1</v>
      </c>
      <c r="F57" s="348">
        <f t="shared" si="15"/>
        <v>3.3</v>
      </c>
      <c r="G57" s="342">
        <v>119</v>
      </c>
      <c r="H57" s="340">
        <f t="shared" si="16"/>
        <v>392.7</v>
      </c>
      <c r="I57" s="340"/>
      <c r="J57" s="341">
        <f t="shared" si="19"/>
        <v>0</v>
      </c>
      <c r="K57" s="341">
        <f t="shared" si="20"/>
        <v>392.7</v>
      </c>
      <c r="L57" s="17"/>
      <c r="M57" s="78"/>
    </row>
    <row r="58" spans="1:13" ht="15" customHeight="1" x14ac:dyDescent="0.25">
      <c r="A58" s="16"/>
      <c r="B58" s="269" t="s">
        <v>536</v>
      </c>
      <c r="C58" s="29" t="s">
        <v>538</v>
      </c>
      <c r="D58" s="17">
        <v>1</v>
      </c>
      <c r="E58" s="347">
        <v>0.1</v>
      </c>
      <c r="F58" s="348">
        <f t="shared" si="15"/>
        <v>1.1000000000000001</v>
      </c>
      <c r="G58" s="342">
        <v>73.5</v>
      </c>
      <c r="H58" s="340">
        <f t="shared" si="16"/>
        <v>80.850000000000009</v>
      </c>
      <c r="I58" s="340"/>
      <c r="J58" s="341">
        <f t="shared" si="19"/>
        <v>0</v>
      </c>
      <c r="K58" s="341">
        <f t="shared" si="20"/>
        <v>80.850000000000009</v>
      </c>
      <c r="L58" s="17"/>
      <c r="M58" s="78"/>
    </row>
    <row r="59" spans="1:13" ht="15" customHeight="1" x14ac:dyDescent="0.25">
      <c r="A59" s="16"/>
      <c r="B59" s="269" t="s">
        <v>536</v>
      </c>
      <c r="C59" s="29" t="s">
        <v>538</v>
      </c>
      <c r="D59" s="17">
        <v>1</v>
      </c>
      <c r="E59" s="347">
        <v>0.1</v>
      </c>
      <c r="F59" s="348">
        <f t="shared" si="15"/>
        <v>1.1000000000000001</v>
      </c>
      <c r="G59" s="342">
        <v>73.5</v>
      </c>
      <c r="H59" s="340">
        <f t="shared" si="16"/>
        <v>80.850000000000009</v>
      </c>
      <c r="I59" s="340"/>
      <c r="J59" s="341">
        <f t="shared" si="19"/>
        <v>0</v>
      </c>
      <c r="K59" s="341">
        <f t="shared" si="20"/>
        <v>80.850000000000009</v>
      </c>
      <c r="L59" s="17"/>
      <c r="M59" s="78"/>
    </row>
    <row r="60" spans="1:13" ht="15" customHeight="1" x14ac:dyDescent="0.25">
      <c r="A60" s="16"/>
      <c r="B60" s="269" t="s">
        <v>537</v>
      </c>
      <c r="C60" s="29" t="s">
        <v>538</v>
      </c>
      <c r="D60" s="17">
        <v>1</v>
      </c>
      <c r="E60" s="347">
        <v>0.1</v>
      </c>
      <c r="F60" s="348">
        <f t="shared" si="15"/>
        <v>1.1000000000000001</v>
      </c>
      <c r="G60" s="342">
        <v>67.5</v>
      </c>
      <c r="H60" s="340">
        <f t="shared" si="16"/>
        <v>74.25</v>
      </c>
      <c r="I60" s="340"/>
      <c r="J60" s="341">
        <f t="shared" si="19"/>
        <v>0</v>
      </c>
      <c r="K60" s="341">
        <f t="shared" si="20"/>
        <v>74.25</v>
      </c>
      <c r="L60" s="17"/>
      <c r="M60" s="78"/>
    </row>
    <row r="61" spans="1:13" ht="15" customHeight="1" x14ac:dyDescent="0.25">
      <c r="A61" s="16"/>
      <c r="B61" s="269" t="s">
        <v>539</v>
      </c>
      <c r="C61" s="29" t="s">
        <v>368</v>
      </c>
      <c r="D61" s="17">
        <f>D51</f>
        <v>4239.5</v>
      </c>
      <c r="E61" s="347">
        <v>0.1</v>
      </c>
      <c r="F61" s="348">
        <f t="shared" si="15"/>
        <v>4663.45</v>
      </c>
      <c r="G61" s="342">
        <v>44</v>
      </c>
      <c r="H61" s="340">
        <f t="shared" si="16"/>
        <v>205191.8</v>
      </c>
      <c r="I61" s="340"/>
      <c r="J61" s="341">
        <f t="shared" si="19"/>
        <v>0</v>
      </c>
      <c r="K61" s="341">
        <f t="shared" si="20"/>
        <v>205191.8</v>
      </c>
      <c r="L61" s="17"/>
      <c r="M61" s="78"/>
    </row>
    <row r="62" spans="1:13" s="11" customFormat="1" ht="15" customHeight="1" outlineLevel="1" x14ac:dyDescent="0.25">
      <c r="A62" s="29"/>
      <c r="B62" s="333"/>
      <c r="C62" s="29"/>
      <c r="D62" s="31"/>
      <c r="E62" s="31"/>
      <c r="F62" s="31"/>
      <c r="G62" s="342"/>
      <c r="H62" s="340">
        <f t="shared" si="16"/>
        <v>0</v>
      </c>
      <c r="I62" s="340"/>
      <c r="J62" s="341"/>
      <c r="K62" s="341"/>
      <c r="L62" s="31"/>
      <c r="M62" s="33"/>
    </row>
    <row r="63" spans="1:13" s="11" customFormat="1" ht="15" customHeight="1" outlineLevel="1" x14ac:dyDescent="0.25">
      <c r="A63" s="29"/>
      <c r="B63" s="332" t="s">
        <v>520</v>
      </c>
      <c r="C63" s="29"/>
      <c r="D63" s="31"/>
      <c r="E63" s="31"/>
      <c r="F63" s="31"/>
      <c r="G63" s="342"/>
      <c r="H63" s="340"/>
      <c r="I63" s="340"/>
      <c r="J63" s="341"/>
      <c r="K63" s="341"/>
      <c r="L63" s="31"/>
      <c r="M63" s="33"/>
    </row>
    <row r="64" spans="1:13" s="11" customFormat="1" ht="15" customHeight="1" outlineLevel="1" x14ac:dyDescent="0.25">
      <c r="A64" s="29"/>
      <c r="B64" s="269" t="s">
        <v>454</v>
      </c>
      <c r="C64" s="29" t="s">
        <v>19</v>
      </c>
      <c r="D64" s="31">
        <f>SUMIF('Doors &amp; Windows Schedule'!$H$3:$H$22,'CB BOQ'!B64,'Doors &amp; Windows Schedule'!D3:D23)</f>
        <v>4</v>
      </c>
      <c r="E64" s="31"/>
      <c r="F64" s="31">
        <f>D64</f>
        <v>4</v>
      </c>
      <c r="G64" s="342">
        <v>1500</v>
      </c>
      <c r="H64" s="340">
        <f t="shared" si="16"/>
        <v>6000</v>
      </c>
      <c r="I64" s="340">
        <v>450</v>
      </c>
      <c r="J64" s="341">
        <f t="shared" ref="J64:J75" si="21">I64*F64</f>
        <v>1800</v>
      </c>
      <c r="K64" s="341">
        <f t="shared" ref="K64:K75" si="22">H64+J64</f>
        <v>7800</v>
      </c>
      <c r="L64" s="31"/>
      <c r="M64" s="33"/>
    </row>
    <row r="65" spans="1:13" s="11" customFormat="1" ht="15" customHeight="1" outlineLevel="1" x14ac:dyDescent="0.25">
      <c r="A65" s="29"/>
      <c r="B65" s="269" t="s">
        <v>455</v>
      </c>
      <c r="C65" s="29" t="s">
        <v>19</v>
      </c>
      <c r="D65" s="31">
        <f>SUMIF('Doors &amp; Windows Schedule'!$H$3:$H$22,'CB BOQ'!B65,'Doors &amp; Windows Schedule'!D4:D24)</f>
        <v>6</v>
      </c>
      <c r="E65" s="31"/>
      <c r="F65" s="31">
        <f t="shared" ref="F65:F67" si="23">D65</f>
        <v>6</v>
      </c>
      <c r="G65" s="342">
        <v>2000</v>
      </c>
      <c r="H65" s="340">
        <f t="shared" si="16"/>
        <v>12000</v>
      </c>
      <c r="I65" s="340">
        <f t="shared" ref="I65:I67" si="24">G65*0.3</f>
        <v>600</v>
      </c>
      <c r="J65" s="341">
        <f t="shared" si="21"/>
        <v>3600</v>
      </c>
      <c r="K65" s="341">
        <f t="shared" si="22"/>
        <v>15600</v>
      </c>
      <c r="L65" s="31"/>
      <c r="M65" s="33"/>
    </row>
    <row r="66" spans="1:13" s="11" customFormat="1" ht="15" customHeight="1" outlineLevel="1" x14ac:dyDescent="0.25">
      <c r="A66" s="29"/>
      <c r="B66" s="269" t="s">
        <v>456</v>
      </c>
      <c r="C66" s="29" t="s">
        <v>19</v>
      </c>
      <c r="D66" s="31">
        <f>SUMIF('Doors &amp; Windows Schedule'!$H$3:$H$22,'CB BOQ'!B66,'Doors &amp; Windows Schedule'!D5:D25)</f>
        <v>1</v>
      </c>
      <c r="E66" s="31"/>
      <c r="F66" s="31">
        <f t="shared" si="23"/>
        <v>1</v>
      </c>
      <c r="G66" s="342">
        <v>4000</v>
      </c>
      <c r="H66" s="340">
        <f t="shared" si="16"/>
        <v>4000</v>
      </c>
      <c r="I66" s="340">
        <f t="shared" si="24"/>
        <v>1200</v>
      </c>
      <c r="J66" s="341">
        <f t="shared" si="21"/>
        <v>1200</v>
      </c>
      <c r="K66" s="341">
        <f t="shared" si="22"/>
        <v>5200</v>
      </c>
      <c r="L66" s="31"/>
      <c r="M66" s="33"/>
    </row>
    <row r="67" spans="1:13" s="11" customFormat="1" ht="15" customHeight="1" outlineLevel="1" x14ac:dyDescent="0.25">
      <c r="A67" s="29"/>
      <c r="B67" s="269" t="s">
        <v>457</v>
      </c>
      <c r="C67" s="29" t="s">
        <v>19</v>
      </c>
      <c r="D67" s="31">
        <f>SUMIF('Doors &amp; Windows Schedule'!$H$3:$H$22,'CB BOQ'!B67,'Doors &amp; Windows Schedule'!D6:D26)</f>
        <v>1</v>
      </c>
      <c r="E67" s="31"/>
      <c r="F67" s="31">
        <f t="shared" si="23"/>
        <v>1</v>
      </c>
      <c r="G67" s="342">
        <v>150</v>
      </c>
      <c r="H67" s="340">
        <f t="shared" si="16"/>
        <v>150</v>
      </c>
      <c r="I67" s="340">
        <f t="shared" si="24"/>
        <v>45</v>
      </c>
      <c r="J67" s="341">
        <f t="shared" si="21"/>
        <v>45</v>
      </c>
      <c r="K67" s="341">
        <f t="shared" si="22"/>
        <v>195</v>
      </c>
      <c r="L67" s="31"/>
      <c r="M67" s="33"/>
    </row>
    <row r="68" spans="1:13" s="11" customFormat="1" ht="15" customHeight="1" outlineLevel="1" x14ac:dyDescent="0.25">
      <c r="A68" s="29"/>
      <c r="B68" s="269"/>
      <c r="C68" s="29"/>
      <c r="D68" s="31">
        <v>12</v>
      </c>
      <c r="E68" s="31"/>
      <c r="F68" s="31"/>
      <c r="G68" s="342"/>
      <c r="H68" s="340">
        <f t="shared" si="16"/>
        <v>0</v>
      </c>
      <c r="I68" s="340"/>
      <c r="J68" s="341">
        <f t="shared" si="21"/>
        <v>0</v>
      </c>
      <c r="K68" s="341">
        <f t="shared" si="22"/>
        <v>0</v>
      </c>
      <c r="L68" s="31"/>
      <c r="M68" s="33"/>
    </row>
    <row r="69" spans="1:13" s="11" customFormat="1" ht="15" customHeight="1" outlineLevel="1" x14ac:dyDescent="0.25">
      <c r="A69" s="29"/>
      <c r="B69" s="269" t="s">
        <v>581</v>
      </c>
      <c r="C69" s="29" t="s">
        <v>580</v>
      </c>
      <c r="D69" s="31">
        <f>D68*17</f>
        <v>204</v>
      </c>
      <c r="E69" s="347">
        <v>0.05</v>
      </c>
      <c r="F69" s="348">
        <f t="shared" ref="F69:F74" si="25">(D69*E69)+D69</f>
        <v>214.2</v>
      </c>
      <c r="G69" s="342">
        <v>8.2755555555555554E-2</v>
      </c>
      <c r="H69" s="340">
        <f t="shared" si="16"/>
        <v>17.726239999999997</v>
      </c>
      <c r="I69" s="340"/>
      <c r="J69" s="341">
        <f t="shared" si="21"/>
        <v>0</v>
      </c>
      <c r="K69" s="341">
        <f t="shared" si="22"/>
        <v>17.726239999999997</v>
      </c>
      <c r="L69" s="31"/>
      <c r="M69" s="33"/>
    </row>
    <row r="70" spans="1:13" s="11" customFormat="1" ht="15" customHeight="1" outlineLevel="1" x14ac:dyDescent="0.25">
      <c r="A70" s="29"/>
      <c r="B70" s="269" t="s">
        <v>582</v>
      </c>
      <c r="C70" s="29" t="s">
        <v>19</v>
      </c>
      <c r="D70" s="31">
        <v>3</v>
      </c>
      <c r="E70" s="347">
        <v>0.05</v>
      </c>
      <c r="F70" s="348">
        <f t="shared" si="25"/>
        <v>3.15</v>
      </c>
      <c r="G70" s="342">
        <v>17.68</v>
      </c>
      <c r="H70" s="340">
        <f t="shared" si="16"/>
        <v>55.692</v>
      </c>
      <c r="I70" s="340"/>
      <c r="J70" s="341">
        <f t="shared" si="21"/>
        <v>0</v>
      </c>
      <c r="K70" s="341">
        <f t="shared" si="22"/>
        <v>55.692</v>
      </c>
      <c r="L70" s="31"/>
      <c r="M70" s="33"/>
    </row>
    <row r="71" spans="1:13" s="11" customFormat="1" ht="15" customHeight="1" outlineLevel="1" x14ac:dyDescent="0.25">
      <c r="A71" s="29"/>
      <c r="B71" s="269" t="s">
        <v>583</v>
      </c>
      <c r="C71" s="29" t="s">
        <v>483</v>
      </c>
      <c r="D71" s="31">
        <f>+SUM('Doors &amp; Windows Schedule'!M4:M14)</f>
        <v>208.82</v>
      </c>
      <c r="E71" s="347">
        <v>0.05</v>
      </c>
      <c r="F71" s="348">
        <f t="shared" si="25"/>
        <v>219.261</v>
      </c>
      <c r="G71" s="342">
        <v>0.49</v>
      </c>
      <c r="H71" s="340">
        <f t="shared" si="16"/>
        <v>107.43789</v>
      </c>
      <c r="I71" s="340"/>
      <c r="J71" s="341">
        <f t="shared" si="21"/>
        <v>0</v>
      </c>
      <c r="K71" s="341">
        <f t="shared" si="22"/>
        <v>107.43789</v>
      </c>
      <c r="L71" s="31"/>
      <c r="M71" s="33"/>
    </row>
    <row r="72" spans="1:13" s="11" customFormat="1" ht="15" customHeight="1" outlineLevel="1" x14ac:dyDescent="0.25">
      <c r="A72" s="29"/>
      <c r="B72" s="269" t="s">
        <v>584</v>
      </c>
      <c r="C72" s="29" t="s">
        <v>586</v>
      </c>
      <c r="D72" s="31">
        <v>5</v>
      </c>
      <c r="E72" s="347">
        <v>0.05</v>
      </c>
      <c r="F72" s="348">
        <f t="shared" si="25"/>
        <v>5.25</v>
      </c>
      <c r="G72" s="342">
        <v>8.9000000000000006E-4</v>
      </c>
      <c r="H72" s="340">
        <f t="shared" si="16"/>
        <v>4.6725000000000004E-3</v>
      </c>
      <c r="I72" s="340"/>
      <c r="J72" s="341">
        <f t="shared" si="21"/>
        <v>0</v>
      </c>
      <c r="K72" s="341">
        <f t="shared" si="22"/>
        <v>4.6725000000000004E-3</v>
      </c>
      <c r="L72" s="31"/>
      <c r="M72" s="33"/>
    </row>
    <row r="73" spans="1:13" s="11" customFormat="1" ht="15" customHeight="1" outlineLevel="1" x14ac:dyDescent="0.25">
      <c r="A73" s="29"/>
      <c r="B73" s="269" t="s">
        <v>585</v>
      </c>
      <c r="C73" s="29" t="s">
        <v>19</v>
      </c>
      <c r="D73" s="31">
        <f>D68*20</f>
        <v>240</v>
      </c>
      <c r="E73" s="347">
        <v>0.05</v>
      </c>
      <c r="F73" s="348">
        <f t="shared" si="25"/>
        <v>252</v>
      </c>
      <c r="G73" s="342">
        <v>0.29859999999999998</v>
      </c>
      <c r="H73" s="340">
        <f t="shared" si="16"/>
        <v>75.247199999999992</v>
      </c>
      <c r="I73" s="340"/>
      <c r="J73" s="341">
        <f t="shared" si="21"/>
        <v>0</v>
      </c>
      <c r="K73" s="341">
        <f t="shared" si="22"/>
        <v>75.247199999999992</v>
      </c>
      <c r="L73" s="31"/>
      <c r="M73" s="33"/>
    </row>
    <row r="74" spans="1:13" s="11" customFormat="1" ht="15" customHeight="1" outlineLevel="1" x14ac:dyDescent="0.25">
      <c r="A74" s="29"/>
      <c r="B74" s="269" t="s">
        <v>585</v>
      </c>
      <c r="C74" s="29" t="s">
        <v>19</v>
      </c>
      <c r="D74" s="31">
        <f>D73</f>
        <v>240</v>
      </c>
      <c r="E74" s="347">
        <v>0.05</v>
      </c>
      <c r="F74" s="348">
        <f t="shared" si="25"/>
        <v>252</v>
      </c>
      <c r="G74" s="342">
        <v>0.29859999999999998</v>
      </c>
      <c r="H74" s="340">
        <f t="shared" si="16"/>
        <v>75.247199999999992</v>
      </c>
      <c r="I74" s="340"/>
      <c r="J74" s="341">
        <f t="shared" si="21"/>
        <v>0</v>
      </c>
      <c r="K74" s="341">
        <f t="shared" si="22"/>
        <v>75.247199999999992</v>
      </c>
      <c r="L74" s="31"/>
      <c r="M74" s="33"/>
    </row>
    <row r="75" spans="1:13" s="11" customFormat="1" ht="15" customHeight="1" outlineLevel="1" x14ac:dyDescent="0.25">
      <c r="A75" s="29"/>
      <c r="B75" s="269"/>
      <c r="C75" s="29"/>
      <c r="D75" s="31"/>
      <c r="E75" s="31"/>
      <c r="F75" s="31"/>
      <c r="G75" s="342"/>
      <c r="H75" s="340"/>
      <c r="I75" s="340"/>
      <c r="J75" s="341">
        <f t="shared" si="21"/>
        <v>0</v>
      </c>
      <c r="K75" s="341">
        <f t="shared" si="22"/>
        <v>0</v>
      </c>
      <c r="L75" s="31"/>
      <c r="M75" s="33"/>
    </row>
    <row r="76" spans="1:13" s="11" customFormat="1" ht="15" customHeight="1" outlineLevel="1" x14ac:dyDescent="0.25">
      <c r="A76" s="29"/>
      <c r="B76" s="254" t="s">
        <v>430</v>
      </c>
      <c r="C76" s="29"/>
      <c r="D76" s="31"/>
      <c r="E76" s="31"/>
      <c r="F76" s="31"/>
      <c r="G76" s="342"/>
      <c r="H76" s="340"/>
      <c r="I76" s="340"/>
      <c r="J76" s="341"/>
      <c r="K76" s="341"/>
      <c r="L76" s="31"/>
      <c r="M76" s="33"/>
    </row>
    <row r="77" spans="1:13" s="11" customFormat="1" ht="15" customHeight="1" outlineLevel="1" x14ac:dyDescent="0.25">
      <c r="A77" s="29"/>
      <c r="B77" s="269" t="s">
        <v>521</v>
      </c>
      <c r="C77" s="29" t="s">
        <v>19</v>
      </c>
      <c r="D77" s="31">
        <f>'Doors &amp; Windows Schedule'!D27</f>
        <v>2</v>
      </c>
      <c r="E77" s="347">
        <v>0.01</v>
      </c>
      <c r="F77" s="348">
        <f t="shared" ref="F77:F85" si="26">(D77*E77)+D77</f>
        <v>2.02</v>
      </c>
      <c r="G77" s="342">
        <v>350</v>
      </c>
      <c r="H77" s="340">
        <f t="shared" ref="H77:H79" si="27">G77*F77</f>
        <v>707</v>
      </c>
      <c r="I77" s="340">
        <f>G77*0.3</f>
        <v>105</v>
      </c>
      <c r="J77" s="341">
        <f t="shared" ref="J77" si="28">I77*F77</f>
        <v>212.1</v>
      </c>
      <c r="K77" s="341">
        <f t="shared" ref="K77" si="29">H77+J77</f>
        <v>919.1</v>
      </c>
      <c r="L77" s="31"/>
      <c r="M77" s="33"/>
    </row>
    <row r="78" spans="1:13" s="11" customFormat="1" ht="15" customHeight="1" outlineLevel="1" x14ac:dyDescent="0.25">
      <c r="A78" s="29"/>
      <c r="B78" s="269" t="s">
        <v>522</v>
      </c>
      <c r="C78" s="29" t="s">
        <v>19</v>
      </c>
      <c r="D78" s="31">
        <f>'Doors &amp; Windows Schedule'!D28</f>
        <v>1</v>
      </c>
      <c r="E78" s="347">
        <v>0.01</v>
      </c>
      <c r="F78" s="348">
        <f t="shared" si="26"/>
        <v>1.01</v>
      </c>
      <c r="G78" s="342">
        <v>5000</v>
      </c>
      <c r="H78" s="340">
        <f t="shared" si="27"/>
        <v>5050</v>
      </c>
      <c r="I78" s="340">
        <f>G78*0.3</f>
        <v>1500</v>
      </c>
      <c r="J78" s="341">
        <f t="shared" ref="J78:J79" si="30">I78*F78</f>
        <v>1515</v>
      </c>
      <c r="K78" s="341">
        <f t="shared" ref="K78:K79" si="31">H78+J78</f>
        <v>6565</v>
      </c>
      <c r="L78" s="31"/>
      <c r="M78" s="33"/>
    </row>
    <row r="79" spans="1:13" s="11" customFormat="1" ht="15" customHeight="1" outlineLevel="1" x14ac:dyDescent="0.25">
      <c r="A79" s="29"/>
      <c r="B79" s="269" t="s">
        <v>523</v>
      </c>
      <c r="C79" s="29" t="s">
        <v>19</v>
      </c>
      <c r="D79" s="31">
        <f>'Doors &amp; Windows Schedule'!D29+'Doors &amp; Windows Schedule'!D30+'Doors &amp; Windows Schedule'!D32</f>
        <v>11</v>
      </c>
      <c r="E79" s="347">
        <v>0.01</v>
      </c>
      <c r="F79" s="348">
        <f t="shared" si="26"/>
        <v>11.11</v>
      </c>
      <c r="G79" s="342">
        <v>500</v>
      </c>
      <c r="H79" s="340">
        <f t="shared" si="27"/>
        <v>5555</v>
      </c>
      <c r="I79" s="340">
        <f>G79*0.3</f>
        <v>150</v>
      </c>
      <c r="J79" s="341">
        <f t="shared" si="30"/>
        <v>1666.5</v>
      </c>
      <c r="K79" s="341">
        <f t="shared" si="31"/>
        <v>7221.5</v>
      </c>
      <c r="L79" s="31"/>
      <c r="M79" s="33"/>
    </row>
    <row r="80" spans="1:13" s="11" customFormat="1" ht="15" customHeight="1" outlineLevel="1" x14ac:dyDescent="0.25">
      <c r="A80" s="29"/>
      <c r="B80" s="269"/>
      <c r="C80" s="29"/>
      <c r="D80" s="31">
        <f>SUM(D76:D79)</f>
        <v>14</v>
      </c>
      <c r="E80" s="31"/>
      <c r="F80" s="348"/>
      <c r="G80" s="342"/>
      <c r="H80" s="340"/>
      <c r="I80" s="340"/>
      <c r="J80" s="341"/>
      <c r="K80" s="341"/>
      <c r="L80" s="31"/>
      <c r="M80" s="33"/>
    </row>
    <row r="81" spans="1:14" s="11" customFormat="1" ht="21" outlineLevel="1" x14ac:dyDescent="0.25">
      <c r="A81" s="29"/>
      <c r="B81" s="33" t="s">
        <v>587</v>
      </c>
      <c r="C81" s="29" t="s">
        <v>19</v>
      </c>
      <c r="D81" s="31">
        <f>D80*20</f>
        <v>280</v>
      </c>
      <c r="E81" s="347">
        <v>0.05</v>
      </c>
      <c r="F81" s="348">
        <f t="shared" si="26"/>
        <v>294</v>
      </c>
      <c r="G81" s="342">
        <v>0.29859999999999998</v>
      </c>
      <c r="H81" s="340">
        <f t="shared" ref="H81:H85" si="32">G81*F81</f>
        <v>87.788399999999996</v>
      </c>
      <c r="I81" s="340"/>
      <c r="J81" s="341">
        <f t="shared" ref="J81:J85" si="33">I81*F81</f>
        <v>0</v>
      </c>
      <c r="K81" s="341">
        <f t="shared" ref="K81:K85" si="34">H81+J81</f>
        <v>87.788399999999996</v>
      </c>
      <c r="L81" s="31"/>
      <c r="M81" s="33"/>
    </row>
    <row r="82" spans="1:14" s="11" customFormat="1" ht="21" outlineLevel="1" x14ac:dyDescent="0.25">
      <c r="A82" s="29"/>
      <c r="B82" s="33" t="s">
        <v>587</v>
      </c>
      <c r="C82" s="29" t="s">
        <v>19</v>
      </c>
      <c r="D82" s="31">
        <f>D81</f>
        <v>280</v>
      </c>
      <c r="E82" s="347">
        <v>0.05</v>
      </c>
      <c r="F82" s="348">
        <f t="shared" si="26"/>
        <v>294</v>
      </c>
      <c r="G82" s="342">
        <v>0.29859999999999998</v>
      </c>
      <c r="H82" s="340">
        <f t="shared" si="32"/>
        <v>87.788399999999996</v>
      </c>
      <c r="I82" s="340"/>
      <c r="J82" s="341">
        <f t="shared" si="33"/>
        <v>0</v>
      </c>
      <c r="K82" s="341">
        <f t="shared" si="34"/>
        <v>87.788399999999996</v>
      </c>
      <c r="L82" s="31"/>
      <c r="M82" s="33"/>
    </row>
    <row r="83" spans="1:14" s="11" customFormat="1" ht="21" outlineLevel="1" x14ac:dyDescent="0.25">
      <c r="A83" s="29"/>
      <c r="B83" s="33" t="s">
        <v>583</v>
      </c>
      <c r="C83" s="29" t="s">
        <v>483</v>
      </c>
      <c r="D83" s="31">
        <f>'Doors &amp; Windows Schedule'!M33</f>
        <v>75.333333333333329</v>
      </c>
      <c r="E83" s="347">
        <v>0.05</v>
      </c>
      <c r="F83" s="348">
        <f t="shared" si="26"/>
        <v>79.099999999999994</v>
      </c>
      <c r="G83" s="342">
        <v>0.49</v>
      </c>
      <c r="H83" s="340">
        <f t="shared" si="32"/>
        <v>38.758999999999993</v>
      </c>
      <c r="I83" s="340"/>
      <c r="J83" s="341">
        <f t="shared" si="33"/>
        <v>0</v>
      </c>
      <c r="K83" s="341">
        <f t="shared" si="34"/>
        <v>38.758999999999993</v>
      </c>
      <c r="L83" s="31"/>
      <c r="M83" s="33"/>
    </row>
    <row r="84" spans="1:14" s="11" customFormat="1" ht="21" outlineLevel="1" x14ac:dyDescent="0.25">
      <c r="A84" s="29"/>
      <c r="B84" s="33" t="s">
        <v>582</v>
      </c>
      <c r="C84" s="29" t="s">
        <v>19</v>
      </c>
      <c r="D84" s="31">
        <f>D80*3</f>
        <v>42</v>
      </c>
      <c r="E84" s="347">
        <v>0.05</v>
      </c>
      <c r="F84" s="348">
        <f t="shared" si="26"/>
        <v>44.1</v>
      </c>
      <c r="G84" s="342">
        <v>17.68</v>
      </c>
      <c r="H84" s="340">
        <f t="shared" si="32"/>
        <v>779.68799999999999</v>
      </c>
      <c r="I84" s="340"/>
      <c r="J84" s="341">
        <f t="shared" si="33"/>
        <v>0</v>
      </c>
      <c r="K84" s="341">
        <f t="shared" si="34"/>
        <v>779.68799999999999</v>
      </c>
      <c r="L84" s="31"/>
      <c r="M84" s="33"/>
    </row>
    <row r="85" spans="1:14" s="11" customFormat="1" ht="21" outlineLevel="1" x14ac:dyDescent="0.25">
      <c r="A85" s="29"/>
      <c r="B85" s="33" t="s">
        <v>588</v>
      </c>
      <c r="C85" s="29" t="s">
        <v>538</v>
      </c>
      <c r="D85" s="31">
        <f>D80*2</f>
        <v>28</v>
      </c>
      <c r="E85" s="347">
        <v>0.05</v>
      </c>
      <c r="F85" s="348">
        <f t="shared" si="26"/>
        <v>29.4</v>
      </c>
      <c r="G85" s="342">
        <v>73.25</v>
      </c>
      <c r="H85" s="340">
        <f t="shared" si="32"/>
        <v>2153.5499999999997</v>
      </c>
      <c r="I85" s="340"/>
      <c r="J85" s="341">
        <f t="shared" si="33"/>
        <v>0</v>
      </c>
      <c r="K85" s="341">
        <f t="shared" si="34"/>
        <v>2153.5499999999997</v>
      </c>
      <c r="L85" s="31"/>
      <c r="M85" s="33"/>
    </row>
    <row r="86" spans="1:14" s="11" customFormat="1" ht="15" customHeight="1" outlineLevel="1" x14ac:dyDescent="0.25">
      <c r="A86" s="29"/>
      <c r="B86" s="33"/>
      <c r="C86" s="29"/>
      <c r="D86" s="31"/>
      <c r="E86" s="31"/>
      <c r="F86" s="31"/>
      <c r="G86" s="342"/>
      <c r="H86" s="340"/>
      <c r="I86" s="340"/>
      <c r="J86" s="341"/>
      <c r="K86" s="341"/>
      <c r="L86" s="31"/>
      <c r="M86" s="33"/>
    </row>
    <row r="87" spans="1:14" ht="15" customHeight="1" x14ac:dyDescent="0.25">
      <c r="A87" s="56"/>
      <c r="B87" s="254" t="s">
        <v>545</v>
      </c>
      <c r="C87" s="337"/>
      <c r="D87" s="45"/>
      <c r="E87" s="45"/>
      <c r="F87" s="45"/>
      <c r="G87" s="342"/>
      <c r="H87" s="340"/>
      <c r="I87" s="340"/>
      <c r="J87" s="341"/>
      <c r="K87" s="341"/>
      <c r="L87" s="45"/>
      <c r="M87" s="83"/>
      <c r="N87" s="84"/>
    </row>
    <row r="88" spans="1:14" s="11" customFormat="1" ht="15" customHeight="1" outlineLevel="1" x14ac:dyDescent="0.25">
      <c r="A88" s="29"/>
      <c r="B88" s="269" t="s">
        <v>543</v>
      </c>
      <c r="C88" s="29" t="s">
        <v>368</v>
      </c>
      <c r="D88" s="31">
        <f>'Take off-CB '!I313+'Take off-CB '!I314</f>
        <v>3575.0299999999997</v>
      </c>
      <c r="E88" s="347">
        <v>0.25</v>
      </c>
      <c r="F88" s="348">
        <f t="shared" ref="F88:F101" si="35">(D88*E88)+D88</f>
        <v>4468.7874999999995</v>
      </c>
      <c r="G88" s="342">
        <v>5</v>
      </c>
      <c r="H88" s="340">
        <f t="shared" ref="H88:H101" si="36">G88*F88</f>
        <v>22343.937499999996</v>
      </c>
      <c r="I88" s="340">
        <v>1.5</v>
      </c>
      <c r="J88" s="341">
        <f t="shared" ref="J88:J100" si="37">I88*F88</f>
        <v>6703.1812499999996</v>
      </c>
      <c r="K88" s="341">
        <f t="shared" ref="K88:K100" si="38">H88+J88</f>
        <v>29047.118749999994</v>
      </c>
      <c r="L88" s="31"/>
      <c r="M88" s="33"/>
    </row>
    <row r="89" spans="1:14" s="11" customFormat="1" ht="15" customHeight="1" outlineLevel="1" x14ac:dyDescent="0.25">
      <c r="A89" s="29"/>
      <c r="B89" s="269" t="s">
        <v>544</v>
      </c>
      <c r="C89" s="29" t="s">
        <v>368</v>
      </c>
      <c r="D89" s="31">
        <f>SUM('Take off-CB '!I315:I322)</f>
        <v>1231.1400000000001</v>
      </c>
      <c r="E89" s="347">
        <v>0.25</v>
      </c>
      <c r="F89" s="348">
        <f t="shared" si="35"/>
        <v>1538.9250000000002</v>
      </c>
      <c r="G89" s="342">
        <v>1.47</v>
      </c>
      <c r="H89" s="340">
        <f t="shared" si="36"/>
        <v>2262.2197500000002</v>
      </c>
      <c r="I89" s="340">
        <v>1.8</v>
      </c>
      <c r="J89" s="341">
        <f t="shared" si="37"/>
        <v>2770.0650000000005</v>
      </c>
      <c r="K89" s="341">
        <f t="shared" si="38"/>
        <v>5032.2847500000007</v>
      </c>
      <c r="L89" s="31"/>
      <c r="M89" s="33"/>
    </row>
    <row r="90" spans="1:14" s="11" customFormat="1" ht="15" customHeight="1" outlineLevel="1" x14ac:dyDescent="0.25">
      <c r="A90" s="29"/>
      <c r="B90" s="269" t="s">
        <v>550</v>
      </c>
      <c r="C90" s="29" t="s">
        <v>368</v>
      </c>
      <c r="D90" s="31"/>
      <c r="E90" s="347">
        <v>0.25</v>
      </c>
      <c r="F90" s="348">
        <f t="shared" si="35"/>
        <v>0</v>
      </c>
      <c r="G90" s="342">
        <v>1.47</v>
      </c>
      <c r="H90" s="340">
        <f t="shared" si="36"/>
        <v>0</v>
      </c>
      <c r="I90" s="340">
        <v>1.8</v>
      </c>
      <c r="J90" s="341">
        <f t="shared" si="37"/>
        <v>0</v>
      </c>
      <c r="K90" s="341">
        <f t="shared" si="38"/>
        <v>0</v>
      </c>
      <c r="L90" s="31"/>
      <c r="M90" s="33"/>
    </row>
    <row r="91" spans="1:14" s="11" customFormat="1" ht="15" customHeight="1" outlineLevel="1" x14ac:dyDescent="0.25">
      <c r="A91" s="29"/>
      <c r="B91" s="269" t="s">
        <v>551</v>
      </c>
      <c r="C91" s="29" t="s">
        <v>19</v>
      </c>
      <c r="D91" s="31">
        <v>50</v>
      </c>
      <c r="E91" s="347">
        <v>0.05</v>
      </c>
      <c r="F91" s="348">
        <f t="shared" si="35"/>
        <v>52.5</v>
      </c>
      <c r="G91" s="342">
        <v>14</v>
      </c>
      <c r="H91" s="340">
        <f t="shared" si="36"/>
        <v>735</v>
      </c>
      <c r="I91" s="340">
        <v>1.8</v>
      </c>
      <c r="J91" s="341">
        <f t="shared" si="37"/>
        <v>94.5</v>
      </c>
      <c r="K91" s="341">
        <f t="shared" si="38"/>
        <v>829.5</v>
      </c>
      <c r="L91" s="31"/>
      <c r="M91" s="33"/>
    </row>
    <row r="92" spans="1:14" s="11" customFormat="1" ht="15" customHeight="1" outlineLevel="1" x14ac:dyDescent="0.25">
      <c r="A92" s="29"/>
      <c r="B92" s="269" t="s">
        <v>552</v>
      </c>
      <c r="C92" s="29" t="s">
        <v>19</v>
      </c>
      <c r="D92" s="31">
        <v>10</v>
      </c>
      <c r="E92" s="347">
        <v>0.05</v>
      </c>
      <c r="F92" s="348">
        <f t="shared" si="35"/>
        <v>10.5</v>
      </c>
      <c r="G92" s="342">
        <v>13.71</v>
      </c>
      <c r="H92" s="340">
        <f t="shared" si="36"/>
        <v>143.95500000000001</v>
      </c>
      <c r="I92" s="340">
        <v>1.8</v>
      </c>
      <c r="J92" s="341">
        <f t="shared" si="37"/>
        <v>18.900000000000002</v>
      </c>
      <c r="K92" s="341">
        <f t="shared" si="38"/>
        <v>162.85500000000002</v>
      </c>
      <c r="L92" s="31"/>
      <c r="M92" s="33"/>
    </row>
    <row r="93" spans="1:14" s="11" customFormat="1" ht="15" customHeight="1" outlineLevel="1" x14ac:dyDescent="0.25">
      <c r="A93" s="29"/>
      <c r="B93" s="269" t="s">
        <v>553</v>
      </c>
      <c r="C93" s="29" t="s">
        <v>19</v>
      </c>
      <c r="D93" s="31">
        <v>5</v>
      </c>
      <c r="E93" s="347">
        <v>0.05</v>
      </c>
      <c r="F93" s="348">
        <f t="shared" si="35"/>
        <v>5.25</v>
      </c>
      <c r="G93" s="342">
        <v>20</v>
      </c>
      <c r="H93" s="340">
        <f t="shared" si="36"/>
        <v>105</v>
      </c>
      <c r="I93" s="340">
        <v>1.8</v>
      </c>
      <c r="J93" s="341">
        <f t="shared" si="37"/>
        <v>9.4500000000000011</v>
      </c>
      <c r="K93" s="341">
        <f t="shared" si="38"/>
        <v>114.45</v>
      </c>
      <c r="L93" s="31"/>
      <c r="M93" s="33"/>
    </row>
    <row r="94" spans="1:14" s="11" customFormat="1" ht="15" customHeight="1" outlineLevel="1" x14ac:dyDescent="0.25">
      <c r="A94" s="29"/>
      <c r="B94" s="269" t="s">
        <v>554</v>
      </c>
      <c r="C94" s="29" t="s">
        <v>368</v>
      </c>
      <c r="D94" s="31">
        <f>'Take off-CB '!I334</f>
        <v>129.60000000000002</v>
      </c>
      <c r="E94" s="347">
        <v>0.25</v>
      </c>
      <c r="F94" s="348">
        <f t="shared" si="35"/>
        <v>162.00000000000003</v>
      </c>
      <c r="G94" s="342">
        <v>4.5</v>
      </c>
      <c r="H94" s="340">
        <f t="shared" si="36"/>
        <v>729.00000000000011</v>
      </c>
      <c r="I94" s="340">
        <v>1.8</v>
      </c>
      <c r="J94" s="341">
        <f t="shared" si="37"/>
        <v>291.60000000000008</v>
      </c>
      <c r="K94" s="341">
        <f t="shared" si="38"/>
        <v>1020.6000000000001</v>
      </c>
      <c r="L94" s="31"/>
      <c r="M94" s="33"/>
    </row>
    <row r="95" spans="1:14" s="11" customFormat="1" ht="15" customHeight="1" outlineLevel="1" x14ac:dyDescent="0.25">
      <c r="A95" s="29"/>
      <c r="B95" s="269" t="s">
        <v>555</v>
      </c>
      <c r="C95" s="29" t="s">
        <v>513</v>
      </c>
      <c r="D95" s="31">
        <f>(D88+D89+D90)*1.4</f>
        <v>6728.6379999999999</v>
      </c>
      <c r="E95" s="347">
        <v>0.05</v>
      </c>
      <c r="F95" s="348">
        <f t="shared" si="35"/>
        <v>7065.0699000000004</v>
      </c>
      <c r="G95" s="342">
        <v>0.35</v>
      </c>
      <c r="H95" s="340">
        <f t="shared" si="36"/>
        <v>2472.774465</v>
      </c>
      <c r="I95" s="340"/>
      <c r="J95" s="341">
        <f t="shared" si="37"/>
        <v>0</v>
      </c>
      <c r="K95" s="341">
        <f t="shared" si="38"/>
        <v>2472.774465</v>
      </c>
      <c r="L95" s="31"/>
      <c r="M95" s="33"/>
    </row>
    <row r="96" spans="1:14" s="11" customFormat="1" ht="15" customHeight="1" outlineLevel="1" x14ac:dyDescent="0.25">
      <c r="A96" s="29"/>
      <c r="B96" s="269" t="s">
        <v>556</v>
      </c>
      <c r="C96" s="29" t="s">
        <v>560</v>
      </c>
      <c r="D96" s="31">
        <v>50</v>
      </c>
      <c r="E96" s="347">
        <v>0</v>
      </c>
      <c r="F96" s="348">
        <f t="shared" si="35"/>
        <v>50</v>
      </c>
      <c r="G96" s="342">
        <v>13.99</v>
      </c>
      <c r="H96" s="340">
        <f t="shared" si="36"/>
        <v>699.5</v>
      </c>
      <c r="I96" s="340"/>
      <c r="J96" s="341">
        <f t="shared" si="37"/>
        <v>0</v>
      </c>
      <c r="K96" s="341">
        <f t="shared" si="38"/>
        <v>699.5</v>
      </c>
      <c r="L96" s="31"/>
      <c r="M96" s="33"/>
    </row>
    <row r="97" spans="1:13" s="11" customFormat="1" ht="15" customHeight="1" outlineLevel="1" x14ac:dyDescent="0.25">
      <c r="A97" s="29"/>
      <c r="B97" s="269" t="s">
        <v>557</v>
      </c>
      <c r="C97" s="29" t="s">
        <v>513</v>
      </c>
      <c r="D97" s="31">
        <f>(D88+D89+D90)*0.175</f>
        <v>841.07974999999999</v>
      </c>
      <c r="E97" s="347">
        <v>0.05</v>
      </c>
      <c r="F97" s="348">
        <f t="shared" si="35"/>
        <v>883.13373750000005</v>
      </c>
      <c r="G97" s="342">
        <v>1.28</v>
      </c>
      <c r="H97" s="340">
        <f t="shared" si="36"/>
        <v>1130.411184</v>
      </c>
      <c r="I97" s="340"/>
      <c r="J97" s="341">
        <f t="shared" si="37"/>
        <v>0</v>
      </c>
      <c r="K97" s="341">
        <f t="shared" si="38"/>
        <v>1130.411184</v>
      </c>
      <c r="L97" s="31"/>
      <c r="M97" s="33"/>
    </row>
    <row r="98" spans="1:13" s="11" customFormat="1" ht="15" customHeight="1" outlineLevel="1" x14ac:dyDescent="0.25">
      <c r="A98" s="29"/>
      <c r="B98" s="269" t="s">
        <v>558</v>
      </c>
      <c r="C98" s="29" t="s">
        <v>19</v>
      </c>
      <c r="D98" s="31">
        <f>(D88+D89+D90)/(100*3)</f>
        <v>16.020566666666667</v>
      </c>
      <c r="E98" s="347">
        <v>0.05</v>
      </c>
      <c r="F98" s="348">
        <f t="shared" si="35"/>
        <v>16.821595000000002</v>
      </c>
      <c r="G98" s="342">
        <v>27</v>
      </c>
      <c r="H98" s="340">
        <f t="shared" si="36"/>
        <v>454.18306500000006</v>
      </c>
      <c r="I98" s="340"/>
      <c r="J98" s="341">
        <f t="shared" si="37"/>
        <v>0</v>
      </c>
      <c r="K98" s="341">
        <f t="shared" si="38"/>
        <v>454.18306500000006</v>
      </c>
      <c r="L98" s="31"/>
      <c r="M98" s="33"/>
    </row>
    <row r="99" spans="1:13" s="11" customFormat="1" ht="15" customHeight="1" outlineLevel="1" x14ac:dyDescent="0.25">
      <c r="A99" s="29"/>
      <c r="B99" s="269" t="s">
        <v>549</v>
      </c>
      <c r="C99" s="29" t="s">
        <v>483</v>
      </c>
      <c r="D99" s="31">
        <f>SUM('Take off-CB '!I326:I333)</f>
        <v>266.74000000000007</v>
      </c>
      <c r="E99" s="347">
        <v>0.05</v>
      </c>
      <c r="F99" s="348">
        <f t="shared" si="35"/>
        <v>280.07700000000006</v>
      </c>
      <c r="G99" s="342">
        <v>18.940000000000001</v>
      </c>
      <c r="H99" s="340">
        <f t="shared" si="36"/>
        <v>5304.6583800000017</v>
      </c>
      <c r="I99" s="340">
        <v>2</v>
      </c>
      <c r="J99" s="341">
        <f t="shared" si="37"/>
        <v>560.15400000000011</v>
      </c>
      <c r="K99" s="341">
        <f t="shared" si="38"/>
        <v>5864.8123800000021</v>
      </c>
      <c r="L99" s="31"/>
      <c r="M99" s="33"/>
    </row>
    <row r="100" spans="1:13" s="11" customFormat="1" ht="15" customHeight="1" outlineLevel="1" x14ac:dyDescent="0.25">
      <c r="A100" s="29"/>
      <c r="B100" s="269" t="s">
        <v>548</v>
      </c>
      <c r="C100" s="29" t="s">
        <v>483</v>
      </c>
      <c r="D100" s="31">
        <f>'Take off-CB '!I325</f>
        <v>107.69</v>
      </c>
      <c r="E100" s="347">
        <v>0.05</v>
      </c>
      <c r="F100" s="348">
        <f t="shared" si="35"/>
        <v>113.0745</v>
      </c>
      <c r="G100" s="342">
        <v>18.940000000000001</v>
      </c>
      <c r="H100" s="340">
        <f t="shared" si="36"/>
        <v>2141.63103</v>
      </c>
      <c r="I100" s="340">
        <v>2</v>
      </c>
      <c r="J100" s="341">
        <f t="shared" si="37"/>
        <v>226.149</v>
      </c>
      <c r="K100" s="341">
        <f t="shared" si="38"/>
        <v>2367.7800299999999</v>
      </c>
      <c r="L100" s="31"/>
      <c r="M100" s="33"/>
    </row>
    <row r="101" spans="1:13" s="11" customFormat="1" ht="15" customHeight="1" outlineLevel="1" x14ac:dyDescent="0.25">
      <c r="A101" s="29"/>
      <c r="B101" s="269" t="s">
        <v>559</v>
      </c>
      <c r="C101" s="29" t="s">
        <v>19</v>
      </c>
      <c r="D101" s="31">
        <v>35</v>
      </c>
      <c r="E101" s="347">
        <v>0.05</v>
      </c>
      <c r="F101" s="348">
        <f t="shared" si="35"/>
        <v>36.75</v>
      </c>
      <c r="G101" s="342">
        <v>6.48</v>
      </c>
      <c r="H101" s="340">
        <f t="shared" si="36"/>
        <v>238.14000000000001</v>
      </c>
      <c r="I101" s="340">
        <v>0</v>
      </c>
      <c r="J101" s="341">
        <f t="shared" ref="J101" si="39">I101*F101</f>
        <v>0</v>
      </c>
      <c r="K101" s="341">
        <f t="shared" ref="K101" si="40">H101+J101</f>
        <v>238.14000000000001</v>
      </c>
      <c r="L101" s="31"/>
      <c r="M101" s="33"/>
    </row>
    <row r="102" spans="1:13" s="11" customFormat="1" ht="15" customHeight="1" outlineLevel="1" x14ac:dyDescent="0.25">
      <c r="A102" s="29"/>
      <c r="B102" s="269"/>
      <c r="C102" s="29"/>
      <c r="D102" s="31"/>
      <c r="E102" s="31"/>
      <c r="F102" s="31"/>
      <c r="G102" s="342"/>
      <c r="H102" s="340"/>
      <c r="I102" s="340"/>
      <c r="J102" s="341"/>
      <c r="K102" s="341"/>
      <c r="L102" s="31"/>
      <c r="M102" s="33"/>
    </row>
    <row r="103" spans="1:13" ht="15" customHeight="1" x14ac:dyDescent="0.25">
      <c r="A103" s="16"/>
      <c r="B103" s="35" t="s">
        <v>540</v>
      </c>
      <c r="C103" s="16"/>
      <c r="D103" s="17"/>
      <c r="E103" s="17"/>
      <c r="F103" s="17"/>
      <c r="G103" s="342"/>
      <c r="H103" s="340"/>
      <c r="I103" s="340"/>
      <c r="J103" s="341"/>
      <c r="K103" s="341"/>
      <c r="L103" s="17"/>
      <c r="M103" s="78"/>
    </row>
    <row r="104" spans="1:13" ht="15" customHeight="1" x14ac:dyDescent="0.25">
      <c r="A104" s="16"/>
      <c r="B104" s="5" t="s">
        <v>541</v>
      </c>
      <c r="C104" s="29" t="s">
        <v>368</v>
      </c>
      <c r="D104" s="336">
        <f>'Take off-CB '!I348</f>
        <v>2813.4055999999996</v>
      </c>
      <c r="E104" s="336"/>
      <c r="F104" s="336"/>
      <c r="G104" s="342"/>
      <c r="H104" s="340"/>
      <c r="I104" s="340"/>
      <c r="J104" s="341"/>
      <c r="K104" s="341"/>
      <c r="L104" s="17"/>
      <c r="M104" s="78"/>
    </row>
    <row r="105" spans="1:13" ht="15" customHeight="1" x14ac:dyDescent="0.25">
      <c r="A105" s="16"/>
      <c r="B105" s="5" t="s">
        <v>542</v>
      </c>
      <c r="C105" s="29" t="s">
        <v>368</v>
      </c>
      <c r="D105" s="336">
        <f>'Take off-CB '!I369</f>
        <v>4239.5</v>
      </c>
      <c r="E105" s="336"/>
      <c r="F105" s="336"/>
      <c r="G105" s="342"/>
      <c r="H105" s="340"/>
      <c r="I105" s="340"/>
      <c r="J105" s="341"/>
      <c r="K105" s="341"/>
      <c r="L105" s="17"/>
      <c r="M105" s="78"/>
    </row>
    <row r="106" spans="1:13" ht="15" customHeight="1" x14ac:dyDescent="0.25">
      <c r="A106" s="16"/>
      <c r="B106" s="254" t="s">
        <v>611</v>
      </c>
      <c r="C106" s="29"/>
      <c r="D106" s="336"/>
      <c r="E106" s="336"/>
      <c r="F106" s="336"/>
      <c r="G106" s="342"/>
      <c r="H106" s="340"/>
      <c r="I106" s="340"/>
      <c r="J106" s="341"/>
      <c r="K106" s="341"/>
      <c r="L106" s="17"/>
      <c r="M106" s="78"/>
    </row>
    <row r="107" spans="1:13" ht="15" customHeight="1" x14ac:dyDescent="0.25">
      <c r="A107" s="16"/>
      <c r="B107" s="269" t="s">
        <v>594</v>
      </c>
      <c r="C107" s="29" t="s">
        <v>605</v>
      </c>
      <c r="D107" s="336">
        <f>+'Take off-CB '!I357+'Take off-CB '!I369</f>
        <v>7089.59</v>
      </c>
      <c r="E107" s="347">
        <v>0.05</v>
      </c>
      <c r="F107" s="348">
        <f t="shared" ref="F107:F118" si="41">(D107*E107)+D107</f>
        <v>7444.0695000000005</v>
      </c>
      <c r="G107" s="342">
        <f>45/300</f>
        <v>0.15</v>
      </c>
      <c r="H107" s="340">
        <f t="shared" ref="H107:H118" si="42">G107*F107</f>
        <v>1116.6104250000001</v>
      </c>
      <c r="I107" s="340">
        <v>0.2</v>
      </c>
      <c r="J107" s="341">
        <f t="shared" ref="J107:J118" si="43">I107*F107</f>
        <v>1488.8139000000001</v>
      </c>
      <c r="K107" s="341">
        <f t="shared" ref="K107:K118" si="44">H107+J107</f>
        <v>2605.424325</v>
      </c>
      <c r="L107" s="17"/>
      <c r="M107" s="78"/>
    </row>
    <row r="108" spans="1:13" ht="15" customHeight="1" x14ac:dyDescent="0.25">
      <c r="A108" s="16"/>
      <c r="B108" s="269" t="s">
        <v>595</v>
      </c>
      <c r="C108" s="29" t="s">
        <v>606</v>
      </c>
      <c r="D108" s="336">
        <f>(50/500)*D107</f>
        <v>708.95900000000006</v>
      </c>
      <c r="E108" s="347">
        <v>0.05</v>
      </c>
      <c r="F108" s="348">
        <f t="shared" si="41"/>
        <v>744.40695000000005</v>
      </c>
      <c r="G108" s="342">
        <v>0.26500000000000001</v>
      </c>
      <c r="H108" s="340">
        <f t="shared" si="42"/>
        <v>197.26784175000003</v>
      </c>
      <c r="I108" s="340">
        <v>5.8031588077763527E-2</v>
      </c>
      <c r="J108" s="341">
        <f t="shared" si="43"/>
        <v>43.19911748462431</v>
      </c>
      <c r="K108" s="341">
        <f t="shared" si="44"/>
        <v>240.46695923462434</v>
      </c>
      <c r="L108" s="17"/>
      <c r="M108" s="78"/>
    </row>
    <row r="109" spans="1:13" ht="15" customHeight="1" x14ac:dyDescent="0.25">
      <c r="A109" s="16"/>
      <c r="B109" s="269" t="s">
        <v>596</v>
      </c>
      <c r="C109" s="29" t="s">
        <v>605</v>
      </c>
      <c r="D109" s="336">
        <f>D107</f>
        <v>7089.59</v>
      </c>
      <c r="E109" s="347">
        <v>0.05</v>
      </c>
      <c r="F109" s="348">
        <f t="shared" si="41"/>
        <v>7444.0695000000005</v>
      </c>
      <c r="G109" s="342">
        <v>8.9</v>
      </c>
      <c r="H109" s="340">
        <f t="shared" si="42"/>
        <v>66252.218550000005</v>
      </c>
      <c r="I109" s="340">
        <v>5.8031588077763527E-2</v>
      </c>
      <c r="J109" s="341">
        <f t="shared" si="43"/>
        <v>431.99117484624315</v>
      </c>
      <c r="K109" s="341">
        <f t="shared" si="44"/>
        <v>66684.209724846252</v>
      </c>
      <c r="L109" s="17"/>
      <c r="M109" s="78"/>
    </row>
    <row r="110" spans="1:13" ht="15" customHeight="1" x14ac:dyDescent="0.25">
      <c r="A110" s="16"/>
      <c r="B110" s="269" t="s">
        <v>597</v>
      </c>
      <c r="C110" s="29" t="s">
        <v>605</v>
      </c>
      <c r="D110" s="336">
        <f>D109</f>
        <v>7089.59</v>
      </c>
      <c r="E110" s="347">
        <v>0.05</v>
      </c>
      <c r="F110" s="348">
        <f t="shared" si="41"/>
        <v>7444.0695000000005</v>
      </c>
      <c r="G110" s="342">
        <v>9.25</v>
      </c>
      <c r="H110" s="340">
        <f t="shared" si="42"/>
        <v>68857.642875000005</v>
      </c>
      <c r="I110" s="340">
        <v>9.2850540924421646E-2</v>
      </c>
      <c r="J110" s="341">
        <f t="shared" si="43"/>
        <v>691.18587975398907</v>
      </c>
      <c r="K110" s="341">
        <f t="shared" si="44"/>
        <v>69548.828754753995</v>
      </c>
      <c r="L110" s="17"/>
      <c r="M110" s="78"/>
    </row>
    <row r="111" spans="1:13" ht="15" customHeight="1" x14ac:dyDescent="0.25">
      <c r="A111" s="16"/>
      <c r="B111" s="254" t="s">
        <v>610</v>
      </c>
      <c r="C111" s="29"/>
      <c r="D111" s="336"/>
      <c r="E111" s="347"/>
      <c r="F111" s="348">
        <f t="shared" si="41"/>
        <v>0</v>
      </c>
      <c r="G111" s="342"/>
      <c r="H111" s="340">
        <f t="shared" si="42"/>
        <v>0</v>
      </c>
      <c r="I111" s="340"/>
      <c r="J111" s="341">
        <f t="shared" si="43"/>
        <v>0</v>
      </c>
      <c r="K111" s="341">
        <f t="shared" si="44"/>
        <v>0</v>
      </c>
      <c r="L111" s="17"/>
      <c r="M111" s="78"/>
    </row>
    <row r="112" spans="1:13" ht="15" customHeight="1" x14ac:dyDescent="0.25">
      <c r="A112" s="16"/>
      <c r="B112" s="269" t="s">
        <v>598</v>
      </c>
      <c r="C112" s="29" t="s">
        <v>607</v>
      </c>
      <c r="D112" s="336">
        <f>'Take off-CB '!I348</f>
        <v>2813.4055999999996</v>
      </c>
      <c r="E112" s="347">
        <v>0.01</v>
      </c>
      <c r="F112" s="348">
        <f t="shared" si="41"/>
        <v>2841.5396559999995</v>
      </c>
      <c r="G112" s="342">
        <v>0</v>
      </c>
      <c r="H112" s="340">
        <f t="shared" si="42"/>
        <v>0</v>
      </c>
      <c r="I112" s="340">
        <v>3</v>
      </c>
      <c r="J112" s="341">
        <f t="shared" ref="J112" si="45">I112*F112</f>
        <v>8524.6189679999989</v>
      </c>
      <c r="K112" s="341">
        <f t="shared" si="44"/>
        <v>8524.6189679999989</v>
      </c>
      <c r="L112" s="17"/>
      <c r="M112" s="78"/>
    </row>
    <row r="113" spans="1:13" ht="15" customHeight="1" x14ac:dyDescent="0.25">
      <c r="A113" s="16"/>
      <c r="B113" s="269" t="s">
        <v>599</v>
      </c>
      <c r="C113" s="29" t="s">
        <v>608</v>
      </c>
      <c r="D113" s="336">
        <f>D112/75</f>
        <v>37.512074666666663</v>
      </c>
      <c r="E113" s="347">
        <v>0.05</v>
      </c>
      <c r="F113" s="348">
        <f t="shared" si="41"/>
        <v>39.387678399999999</v>
      </c>
      <c r="G113" s="342">
        <v>6.0579999999999998</v>
      </c>
      <c r="H113" s="340">
        <f t="shared" ref="H113:H123" si="46">G113*F113</f>
        <v>238.61055574719998</v>
      </c>
      <c r="I113" s="340">
        <v>0.1</v>
      </c>
      <c r="J113" s="341">
        <f t="shared" si="43"/>
        <v>3.9387678400000001</v>
      </c>
      <c r="K113" s="341">
        <f t="shared" si="44"/>
        <v>242.54932358719998</v>
      </c>
      <c r="L113" s="17"/>
      <c r="M113" s="78"/>
    </row>
    <row r="114" spans="1:13" ht="15" customHeight="1" x14ac:dyDescent="0.25">
      <c r="A114" s="16"/>
      <c r="B114" s="269" t="s">
        <v>600</v>
      </c>
      <c r="C114" s="29" t="s">
        <v>608</v>
      </c>
      <c r="D114" s="336">
        <f>(D112/200)*2</f>
        <v>28.134055999999998</v>
      </c>
      <c r="E114" s="347">
        <v>0.05</v>
      </c>
      <c r="F114" s="348">
        <f t="shared" si="41"/>
        <v>29.540758799999999</v>
      </c>
      <c r="G114" s="342">
        <v>22.23</v>
      </c>
      <c r="H114" s="340">
        <f t="shared" si="42"/>
        <v>656.69106812400003</v>
      </c>
      <c r="I114" s="340">
        <v>0.33</v>
      </c>
      <c r="J114" s="341">
        <f t="shared" si="43"/>
        <v>9.7484504039999997</v>
      </c>
      <c r="K114" s="341">
        <f t="shared" si="44"/>
        <v>666.43951852800001</v>
      </c>
      <c r="L114" s="17"/>
      <c r="M114" s="78"/>
    </row>
    <row r="115" spans="1:13" ht="15" customHeight="1" x14ac:dyDescent="0.25">
      <c r="A115" s="16"/>
      <c r="B115" s="269" t="s">
        <v>601</v>
      </c>
      <c r="C115" s="29" t="s">
        <v>19</v>
      </c>
      <c r="D115" s="336"/>
      <c r="E115" s="347">
        <v>0.05</v>
      </c>
      <c r="F115" s="348">
        <f t="shared" si="41"/>
        <v>0</v>
      </c>
      <c r="G115" s="342">
        <v>6.42</v>
      </c>
      <c r="H115" s="340">
        <f t="shared" si="42"/>
        <v>0</v>
      </c>
      <c r="I115" s="340">
        <f>G115*0.4</f>
        <v>2.5680000000000001</v>
      </c>
      <c r="J115" s="341">
        <f t="shared" si="43"/>
        <v>0</v>
      </c>
      <c r="K115" s="341">
        <f t="shared" si="44"/>
        <v>0</v>
      </c>
      <c r="L115" s="17"/>
      <c r="M115" s="78"/>
    </row>
    <row r="116" spans="1:13" ht="15" customHeight="1" x14ac:dyDescent="0.25">
      <c r="A116" s="16"/>
      <c r="B116" s="269" t="s">
        <v>602</v>
      </c>
      <c r="C116" s="29" t="s">
        <v>483</v>
      </c>
      <c r="D116" s="336"/>
      <c r="E116" s="347">
        <v>0.05</v>
      </c>
      <c r="F116" s="348">
        <f t="shared" si="41"/>
        <v>0</v>
      </c>
      <c r="G116" s="342">
        <v>0.27</v>
      </c>
      <c r="H116" s="340">
        <f t="shared" si="42"/>
        <v>0</v>
      </c>
      <c r="I116" s="340">
        <f>G116*0.4</f>
        <v>0.10800000000000001</v>
      </c>
      <c r="J116" s="341">
        <f t="shared" si="43"/>
        <v>0</v>
      </c>
      <c r="K116" s="341">
        <f t="shared" si="44"/>
        <v>0</v>
      </c>
      <c r="L116" s="17"/>
      <c r="M116" s="78"/>
    </row>
    <row r="117" spans="1:13" ht="15" customHeight="1" x14ac:dyDescent="0.25">
      <c r="A117" s="16"/>
      <c r="B117" s="269" t="s">
        <v>603</v>
      </c>
      <c r="C117" s="29" t="s">
        <v>609</v>
      </c>
      <c r="D117" s="336"/>
      <c r="E117" s="347">
        <v>0.05</v>
      </c>
      <c r="F117" s="348">
        <f t="shared" si="41"/>
        <v>0</v>
      </c>
      <c r="G117" s="342">
        <v>59.5</v>
      </c>
      <c r="H117" s="340">
        <f t="shared" si="42"/>
        <v>0</v>
      </c>
      <c r="I117" s="340">
        <f>G117*0.4</f>
        <v>23.8</v>
      </c>
      <c r="J117" s="341">
        <f t="shared" si="43"/>
        <v>0</v>
      </c>
      <c r="K117" s="341">
        <f t="shared" si="44"/>
        <v>0</v>
      </c>
      <c r="L117" s="17"/>
      <c r="M117" s="78"/>
    </row>
    <row r="118" spans="1:13" ht="15" customHeight="1" x14ac:dyDescent="0.25">
      <c r="A118" s="16"/>
      <c r="B118" s="269" t="s">
        <v>604</v>
      </c>
      <c r="C118" s="29" t="s">
        <v>560</v>
      </c>
      <c r="D118" s="336"/>
      <c r="E118" s="347">
        <v>0.05</v>
      </c>
      <c r="F118" s="348">
        <f t="shared" si="41"/>
        <v>0</v>
      </c>
      <c r="G118" s="342">
        <v>25.8</v>
      </c>
      <c r="H118" s="340">
        <f t="shared" si="42"/>
        <v>0</v>
      </c>
      <c r="I118" s="340">
        <f>G118*0.4</f>
        <v>10.32</v>
      </c>
      <c r="J118" s="341">
        <f t="shared" si="43"/>
        <v>0</v>
      </c>
      <c r="K118" s="341">
        <f t="shared" si="44"/>
        <v>0</v>
      </c>
      <c r="L118" s="17"/>
      <c r="M118" s="78"/>
    </row>
    <row r="119" spans="1:13" ht="15" customHeight="1" x14ac:dyDescent="0.25">
      <c r="A119" s="16"/>
      <c r="B119" s="254" t="s">
        <v>616</v>
      </c>
      <c r="C119" s="29"/>
      <c r="D119" s="336"/>
      <c r="E119" s="336"/>
      <c r="F119" s="336"/>
      <c r="G119" s="342"/>
      <c r="H119" s="340">
        <f t="shared" si="46"/>
        <v>0</v>
      </c>
      <c r="I119" s="340"/>
      <c r="J119" s="341"/>
      <c r="K119" s="341"/>
      <c r="L119" s="17"/>
      <c r="M119" s="78"/>
    </row>
    <row r="120" spans="1:13" ht="15" customHeight="1" x14ac:dyDescent="0.25">
      <c r="A120" s="16"/>
      <c r="B120" s="33" t="s">
        <v>616</v>
      </c>
      <c r="C120" s="29" t="s">
        <v>483</v>
      </c>
      <c r="D120" s="336">
        <f>'Take off-CB '!I380</f>
        <v>33.32</v>
      </c>
      <c r="E120" s="336"/>
      <c r="F120" s="348">
        <f t="shared" ref="F120:F123" si="47">(D120*E120)+D120</f>
        <v>33.32</v>
      </c>
      <c r="G120" s="342"/>
      <c r="H120" s="340">
        <f t="shared" si="46"/>
        <v>0</v>
      </c>
      <c r="I120" s="340"/>
      <c r="J120" s="341">
        <f t="shared" ref="J120:J123" si="48">I120*F120</f>
        <v>0</v>
      </c>
      <c r="K120" s="341">
        <f>H120+J120</f>
        <v>0</v>
      </c>
      <c r="L120" s="17"/>
      <c r="M120" s="78"/>
    </row>
    <row r="121" spans="1:13" ht="15" customHeight="1" x14ac:dyDescent="0.25">
      <c r="A121" s="16"/>
      <c r="B121" s="356" t="s">
        <v>619</v>
      </c>
      <c r="C121" s="29"/>
      <c r="D121" s="336"/>
      <c r="E121" s="336"/>
      <c r="F121" s="336"/>
      <c r="G121" s="342"/>
      <c r="H121" s="340">
        <f t="shared" si="46"/>
        <v>0</v>
      </c>
      <c r="I121" s="340"/>
      <c r="J121" s="341"/>
      <c r="K121" s="341"/>
      <c r="L121" s="17"/>
      <c r="M121" s="78"/>
    </row>
    <row r="122" spans="1:13" ht="15" customHeight="1" x14ac:dyDescent="0.25">
      <c r="A122" s="16"/>
      <c r="B122" s="33" t="s">
        <v>617</v>
      </c>
      <c r="C122" s="29" t="s">
        <v>27</v>
      </c>
      <c r="D122" s="336">
        <v>5</v>
      </c>
      <c r="E122" s="336"/>
      <c r="F122" s="348">
        <f t="shared" si="47"/>
        <v>5</v>
      </c>
      <c r="G122" s="342"/>
      <c r="H122" s="340">
        <f t="shared" si="46"/>
        <v>0</v>
      </c>
      <c r="I122" s="340"/>
      <c r="J122" s="341">
        <f t="shared" si="48"/>
        <v>0</v>
      </c>
      <c r="K122" s="341">
        <f>H122+J122</f>
        <v>0</v>
      </c>
      <c r="L122" s="17"/>
      <c r="M122" s="78"/>
    </row>
    <row r="123" spans="1:13" ht="15" customHeight="1" x14ac:dyDescent="0.25">
      <c r="A123" s="16"/>
      <c r="B123" s="33" t="s">
        <v>618</v>
      </c>
      <c r="C123" s="29" t="s">
        <v>27</v>
      </c>
      <c r="D123" s="336">
        <v>5</v>
      </c>
      <c r="E123" s="336"/>
      <c r="F123" s="348">
        <f t="shared" si="47"/>
        <v>5</v>
      </c>
      <c r="G123" s="342"/>
      <c r="H123" s="340">
        <f t="shared" si="46"/>
        <v>0</v>
      </c>
      <c r="I123" s="340"/>
      <c r="J123" s="341">
        <f t="shared" si="48"/>
        <v>0</v>
      </c>
      <c r="K123" s="341">
        <f t="shared" ref="K123" si="49">H123+J123</f>
        <v>0</v>
      </c>
      <c r="L123" s="17"/>
      <c r="M123" s="78"/>
    </row>
    <row r="124" spans="1:13" ht="15" customHeight="1" x14ac:dyDescent="0.25">
      <c r="A124" s="16"/>
      <c r="B124" s="33"/>
      <c r="C124" s="29"/>
      <c r="D124" s="336"/>
      <c r="E124" s="336"/>
      <c r="F124" s="336"/>
      <c r="G124" s="342"/>
      <c r="H124" s="340"/>
      <c r="I124" s="340"/>
      <c r="J124" s="341"/>
      <c r="K124" s="341"/>
      <c r="L124" s="17"/>
      <c r="M124" s="78"/>
    </row>
    <row r="125" spans="1:13" ht="15" customHeight="1" x14ac:dyDescent="0.25">
      <c r="A125" s="16"/>
      <c r="B125" s="356" t="s">
        <v>620</v>
      </c>
      <c r="C125" s="29"/>
      <c r="D125" s="336"/>
      <c r="E125" s="336"/>
      <c r="F125" s="336"/>
      <c r="G125" s="342"/>
      <c r="H125" s="340"/>
      <c r="I125" s="340"/>
      <c r="J125" s="341"/>
      <c r="K125" s="341"/>
      <c r="L125" s="17"/>
      <c r="M125" s="78"/>
    </row>
    <row r="126" spans="1:13" ht="15" customHeight="1" x14ac:dyDescent="0.25">
      <c r="A126" s="16"/>
      <c r="B126" s="269" t="s">
        <v>621</v>
      </c>
      <c r="C126" s="29" t="s">
        <v>27</v>
      </c>
      <c r="D126" s="336">
        <v>15</v>
      </c>
      <c r="E126" s="336"/>
      <c r="F126" s="348">
        <f t="shared" ref="F126:F140" si="50">(D126*E126)+D126</f>
        <v>15</v>
      </c>
      <c r="G126" s="342"/>
      <c r="H126" s="340"/>
      <c r="I126" s="340">
        <v>35</v>
      </c>
      <c r="J126" s="341">
        <f t="shared" ref="J126:J140" si="51">I126*F126</f>
        <v>525</v>
      </c>
      <c r="K126" s="341">
        <f t="shared" ref="K126:K140" si="52">H126+J126</f>
        <v>525</v>
      </c>
      <c r="L126" s="17"/>
      <c r="M126" s="78"/>
    </row>
    <row r="127" spans="1:13" ht="15" customHeight="1" x14ac:dyDescent="0.25">
      <c r="A127" s="16"/>
      <c r="B127" s="269" t="s">
        <v>622</v>
      </c>
      <c r="C127" s="29" t="s">
        <v>27</v>
      </c>
      <c r="D127" s="336">
        <v>1</v>
      </c>
      <c r="E127" s="336"/>
      <c r="F127" s="348">
        <f t="shared" si="50"/>
        <v>1</v>
      </c>
      <c r="G127" s="342"/>
      <c r="H127" s="340"/>
      <c r="I127" s="340">
        <v>350</v>
      </c>
      <c r="J127" s="341">
        <f t="shared" si="51"/>
        <v>350</v>
      </c>
      <c r="K127" s="341">
        <f t="shared" si="52"/>
        <v>350</v>
      </c>
      <c r="L127" s="17"/>
      <c r="M127" s="78"/>
    </row>
    <row r="128" spans="1:13" ht="15" customHeight="1" x14ac:dyDescent="0.25">
      <c r="A128" s="16"/>
      <c r="B128" s="269" t="s">
        <v>622</v>
      </c>
      <c r="C128" s="29" t="s">
        <v>27</v>
      </c>
      <c r="D128" s="336">
        <v>1</v>
      </c>
      <c r="E128" s="336"/>
      <c r="F128" s="348">
        <f t="shared" si="50"/>
        <v>1</v>
      </c>
      <c r="G128" s="342"/>
      <c r="H128" s="340"/>
      <c r="I128" s="340">
        <v>450</v>
      </c>
      <c r="J128" s="341">
        <f t="shared" si="51"/>
        <v>450</v>
      </c>
      <c r="K128" s="341">
        <f t="shared" si="52"/>
        <v>450</v>
      </c>
      <c r="L128" s="17"/>
      <c r="M128" s="78"/>
    </row>
    <row r="129" spans="1:13" ht="15" customHeight="1" x14ac:dyDescent="0.25">
      <c r="A129" s="16"/>
      <c r="B129" s="269" t="s">
        <v>622</v>
      </c>
      <c r="C129" s="29" t="s">
        <v>27</v>
      </c>
      <c r="D129" s="336">
        <v>1</v>
      </c>
      <c r="E129" s="336"/>
      <c r="F129" s="348">
        <f t="shared" si="50"/>
        <v>1</v>
      </c>
      <c r="G129" s="342"/>
      <c r="H129" s="340"/>
      <c r="I129" s="340">
        <v>400</v>
      </c>
      <c r="J129" s="341">
        <f t="shared" si="51"/>
        <v>400</v>
      </c>
      <c r="K129" s="341">
        <f t="shared" si="52"/>
        <v>400</v>
      </c>
      <c r="L129" s="17"/>
      <c r="M129" s="78"/>
    </row>
    <row r="130" spans="1:13" ht="15" customHeight="1" x14ac:dyDescent="0.25">
      <c r="A130" s="16"/>
      <c r="B130" s="269" t="s">
        <v>621</v>
      </c>
      <c r="C130" s="29" t="s">
        <v>27</v>
      </c>
      <c r="D130" s="336">
        <v>5</v>
      </c>
      <c r="E130" s="336"/>
      <c r="F130" s="348">
        <f t="shared" si="50"/>
        <v>5</v>
      </c>
      <c r="G130" s="342"/>
      <c r="H130" s="340"/>
      <c r="I130" s="340">
        <v>85</v>
      </c>
      <c r="J130" s="341">
        <f t="shared" si="51"/>
        <v>425</v>
      </c>
      <c r="K130" s="341">
        <f t="shared" si="52"/>
        <v>425</v>
      </c>
      <c r="L130" s="17"/>
      <c r="M130" s="78"/>
    </row>
    <row r="131" spans="1:13" ht="15" customHeight="1" x14ac:dyDescent="0.25">
      <c r="A131" s="16"/>
      <c r="B131" s="269" t="s">
        <v>623</v>
      </c>
      <c r="C131" s="29" t="s">
        <v>27</v>
      </c>
      <c r="D131" s="336">
        <v>4</v>
      </c>
      <c r="E131" s="336"/>
      <c r="F131" s="348">
        <f t="shared" si="50"/>
        <v>4</v>
      </c>
      <c r="G131" s="342"/>
      <c r="H131" s="340"/>
      <c r="I131" s="340">
        <v>35</v>
      </c>
      <c r="J131" s="341">
        <f t="shared" si="51"/>
        <v>140</v>
      </c>
      <c r="K131" s="341">
        <f t="shared" si="52"/>
        <v>140</v>
      </c>
      <c r="L131" s="17"/>
      <c r="M131" s="78"/>
    </row>
    <row r="132" spans="1:13" ht="15" customHeight="1" x14ac:dyDescent="0.25">
      <c r="A132" s="16"/>
      <c r="B132" s="269" t="s">
        <v>624</v>
      </c>
      <c r="C132" s="29" t="s">
        <v>27</v>
      </c>
      <c r="D132" s="336">
        <v>1</v>
      </c>
      <c r="E132" s="336"/>
      <c r="F132" s="348">
        <f t="shared" si="50"/>
        <v>1</v>
      </c>
      <c r="G132" s="342"/>
      <c r="H132" s="340"/>
      <c r="I132" s="340">
        <v>350</v>
      </c>
      <c r="J132" s="341">
        <f t="shared" si="51"/>
        <v>350</v>
      </c>
      <c r="K132" s="341">
        <f t="shared" si="52"/>
        <v>350</v>
      </c>
      <c r="L132" s="17"/>
      <c r="M132" s="78"/>
    </row>
    <row r="133" spans="1:13" ht="15" customHeight="1" x14ac:dyDescent="0.25">
      <c r="A133" s="16"/>
      <c r="B133" s="269" t="s">
        <v>624</v>
      </c>
      <c r="C133" s="29" t="s">
        <v>27</v>
      </c>
      <c r="D133" s="336">
        <v>10</v>
      </c>
      <c r="E133" s="336"/>
      <c r="F133" s="348">
        <f t="shared" si="50"/>
        <v>10</v>
      </c>
      <c r="G133" s="342"/>
      <c r="H133" s="340"/>
      <c r="I133" s="340">
        <v>450</v>
      </c>
      <c r="J133" s="341">
        <f t="shared" si="51"/>
        <v>4500</v>
      </c>
      <c r="K133" s="341">
        <f t="shared" si="52"/>
        <v>4500</v>
      </c>
      <c r="L133" s="17"/>
      <c r="M133" s="78"/>
    </row>
    <row r="134" spans="1:13" ht="15" customHeight="1" x14ac:dyDescent="0.25">
      <c r="A134" s="16"/>
      <c r="B134" s="269" t="s">
        <v>623</v>
      </c>
      <c r="C134" s="29" t="s">
        <v>27</v>
      </c>
      <c r="D134" s="336">
        <v>1</v>
      </c>
      <c r="E134" s="336"/>
      <c r="F134" s="348">
        <f t="shared" si="50"/>
        <v>1</v>
      </c>
      <c r="G134" s="342"/>
      <c r="H134" s="340"/>
      <c r="I134" s="340">
        <v>400</v>
      </c>
      <c r="J134" s="341">
        <f t="shared" si="51"/>
        <v>400</v>
      </c>
      <c r="K134" s="341">
        <f t="shared" si="52"/>
        <v>400</v>
      </c>
      <c r="L134" s="17"/>
      <c r="M134" s="78"/>
    </row>
    <row r="135" spans="1:13" ht="15" customHeight="1" x14ac:dyDescent="0.25">
      <c r="A135" s="16"/>
      <c r="B135" s="269" t="s">
        <v>623</v>
      </c>
      <c r="C135" s="29" t="s">
        <v>27</v>
      </c>
      <c r="D135" s="336">
        <v>5</v>
      </c>
      <c r="E135" s="336"/>
      <c r="F135" s="348">
        <f t="shared" si="50"/>
        <v>5</v>
      </c>
      <c r="G135" s="342"/>
      <c r="H135" s="340"/>
      <c r="I135" s="340">
        <v>350</v>
      </c>
      <c r="J135" s="341">
        <f t="shared" si="51"/>
        <v>1750</v>
      </c>
      <c r="K135" s="341">
        <f t="shared" si="52"/>
        <v>1750</v>
      </c>
      <c r="L135" s="17"/>
      <c r="M135" s="78"/>
    </row>
    <row r="136" spans="1:13" ht="15" customHeight="1" x14ac:dyDescent="0.25">
      <c r="A136" s="16"/>
      <c r="B136" s="269" t="s">
        <v>624</v>
      </c>
      <c r="C136" s="29" t="s">
        <v>27</v>
      </c>
      <c r="D136" s="336">
        <v>1</v>
      </c>
      <c r="E136" s="336"/>
      <c r="F136" s="348">
        <f t="shared" si="50"/>
        <v>1</v>
      </c>
      <c r="G136" s="342"/>
      <c r="H136" s="340"/>
      <c r="I136" s="340">
        <v>300</v>
      </c>
      <c r="J136" s="341">
        <f t="shared" si="51"/>
        <v>300</v>
      </c>
      <c r="K136" s="341">
        <f t="shared" si="52"/>
        <v>300</v>
      </c>
      <c r="L136" s="17"/>
      <c r="M136" s="78"/>
    </row>
    <row r="137" spans="1:13" ht="15" customHeight="1" x14ac:dyDescent="0.25">
      <c r="A137" s="16"/>
      <c r="B137" s="269" t="s">
        <v>624</v>
      </c>
      <c r="C137" s="29" t="s">
        <v>27</v>
      </c>
      <c r="D137" s="336">
        <v>24</v>
      </c>
      <c r="E137" s="336"/>
      <c r="F137" s="348">
        <f t="shared" si="50"/>
        <v>24</v>
      </c>
      <c r="G137" s="342"/>
      <c r="H137" s="340"/>
      <c r="I137" s="340">
        <v>400</v>
      </c>
      <c r="J137" s="341">
        <f t="shared" si="51"/>
        <v>9600</v>
      </c>
      <c r="K137" s="341">
        <f t="shared" si="52"/>
        <v>9600</v>
      </c>
      <c r="L137" s="17"/>
      <c r="M137" s="78"/>
    </row>
    <row r="138" spans="1:13" ht="15" customHeight="1" x14ac:dyDescent="0.25">
      <c r="A138" s="16"/>
      <c r="B138" s="269" t="s">
        <v>624</v>
      </c>
      <c r="C138" s="29" t="s">
        <v>27</v>
      </c>
      <c r="D138" s="336">
        <v>1</v>
      </c>
      <c r="E138" s="336"/>
      <c r="F138" s="348">
        <f t="shared" si="50"/>
        <v>1</v>
      </c>
      <c r="G138" s="342"/>
      <c r="H138" s="340"/>
      <c r="I138" s="340">
        <v>400</v>
      </c>
      <c r="J138" s="341">
        <f t="shared" si="51"/>
        <v>400</v>
      </c>
      <c r="K138" s="341">
        <f t="shared" si="52"/>
        <v>400</v>
      </c>
      <c r="L138" s="17"/>
      <c r="M138" s="78"/>
    </row>
    <row r="139" spans="1:13" ht="15" customHeight="1" x14ac:dyDescent="0.25">
      <c r="A139" s="16"/>
      <c r="B139" s="269" t="s">
        <v>625</v>
      </c>
      <c r="C139" s="29" t="s">
        <v>27</v>
      </c>
      <c r="D139" s="336">
        <v>1</v>
      </c>
      <c r="E139" s="336"/>
      <c r="F139" s="348">
        <f t="shared" si="50"/>
        <v>1</v>
      </c>
      <c r="G139" s="342"/>
      <c r="H139" s="340"/>
      <c r="I139" s="340">
        <v>250</v>
      </c>
      <c r="J139" s="341">
        <f t="shared" si="51"/>
        <v>250</v>
      </c>
      <c r="K139" s="341">
        <f t="shared" si="52"/>
        <v>250</v>
      </c>
      <c r="L139" s="17"/>
      <c r="M139" s="78"/>
    </row>
    <row r="140" spans="1:13" ht="15" customHeight="1" x14ac:dyDescent="0.25">
      <c r="A140" s="16"/>
      <c r="B140" s="269" t="s">
        <v>625</v>
      </c>
      <c r="C140" s="29" t="s">
        <v>27</v>
      </c>
      <c r="D140" s="336">
        <v>2</v>
      </c>
      <c r="E140" s="336"/>
      <c r="F140" s="348">
        <f t="shared" si="50"/>
        <v>2</v>
      </c>
      <c r="G140" s="342"/>
      <c r="H140" s="340"/>
      <c r="I140" s="340">
        <v>125</v>
      </c>
      <c r="J140" s="341">
        <f t="shared" si="51"/>
        <v>250</v>
      </c>
      <c r="K140" s="341">
        <f t="shared" si="52"/>
        <v>250</v>
      </c>
      <c r="L140" s="17"/>
      <c r="M140" s="78"/>
    </row>
    <row r="141" spans="1:13" ht="15" customHeight="1" x14ac:dyDescent="0.25">
      <c r="A141" s="16"/>
      <c r="B141" s="269"/>
      <c r="C141" s="29"/>
      <c r="D141" s="336"/>
      <c r="E141" s="336"/>
      <c r="F141" s="336"/>
      <c r="G141" s="342"/>
      <c r="H141" s="340"/>
      <c r="I141" s="340"/>
      <c r="J141" s="341"/>
      <c r="K141" s="341"/>
      <c r="L141" s="17"/>
      <c r="M141" s="78"/>
    </row>
    <row r="142" spans="1:13" ht="15" customHeight="1" x14ac:dyDescent="0.25">
      <c r="A142" s="16"/>
      <c r="B142" s="269"/>
      <c r="C142" s="29"/>
      <c r="D142" s="336"/>
      <c r="E142" s="336"/>
      <c r="F142" s="336"/>
      <c r="G142" s="342"/>
      <c r="H142" s="340"/>
      <c r="I142" s="340"/>
      <c r="J142" s="341"/>
      <c r="K142" s="341"/>
      <c r="L142" s="17"/>
      <c r="M142" s="78"/>
    </row>
    <row r="143" spans="1:13" ht="21" x14ac:dyDescent="0.25">
      <c r="G143" s="342"/>
      <c r="H143" s="340"/>
      <c r="I143" s="340"/>
      <c r="J143" s="341"/>
      <c r="K143" s="357">
        <f>SUM(K3:K142)</f>
        <v>886617.9822701104</v>
      </c>
    </row>
  </sheetData>
  <mergeCells count="2">
    <mergeCell ref="G1:H1"/>
    <mergeCell ref="I1:J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F826E-13BC-4C35-94AA-CEAF29203F69}">
  <dimension ref="A1:V73"/>
  <sheetViews>
    <sheetView topLeftCell="A35" zoomScale="85" zoomScaleNormal="85" workbookViewId="0">
      <selection activeCell="B73" sqref="B73"/>
    </sheetView>
  </sheetViews>
  <sheetFormatPr defaultRowHeight="15" x14ac:dyDescent="0.25"/>
  <cols>
    <col min="2" max="2" width="20.7109375" customWidth="1"/>
    <col min="3" max="3" width="14.85546875" bestFit="1" customWidth="1"/>
    <col min="5" max="5" width="9.28515625" bestFit="1" customWidth="1"/>
    <col min="8" max="8" width="9.28515625" bestFit="1" customWidth="1"/>
  </cols>
  <sheetData>
    <row r="1" spans="1:15" x14ac:dyDescent="0.25">
      <c r="A1" s="85"/>
      <c r="B1" s="171"/>
    </row>
    <row r="2" spans="1:15" x14ac:dyDescent="0.25">
      <c r="A2" s="85"/>
      <c r="B2" s="172" t="s">
        <v>214</v>
      </c>
      <c r="C2" s="173" t="s">
        <v>220</v>
      </c>
      <c r="D2" s="173"/>
      <c r="E2" s="173"/>
      <c r="F2" s="173"/>
      <c r="G2" s="173"/>
      <c r="H2" s="173"/>
      <c r="J2" s="173"/>
    </row>
    <row r="3" spans="1:15" ht="30" x14ac:dyDescent="0.25">
      <c r="A3" s="85"/>
      <c r="B3" s="172" t="s">
        <v>215</v>
      </c>
      <c r="C3" s="174"/>
      <c r="D3" s="173"/>
      <c r="E3" s="173"/>
      <c r="F3" s="173"/>
      <c r="G3" s="173"/>
      <c r="H3" s="173"/>
      <c r="J3" s="174"/>
    </row>
    <row r="4" spans="1:15" x14ac:dyDescent="0.25">
      <c r="A4" s="85"/>
      <c r="B4" s="172" t="s">
        <v>216</v>
      </c>
      <c r="C4" s="175"/>
      <c r="D4" s="173"/>
      <c r="E4" s="173"/>
      <c r="F4" s="173"/>
      <c r="G4" s="173"/>
      <c r="H4" s="173"/>
      <c r="J4" s="175"/>
    </row>
    <row r="5" spans="1:15" x14ac:dyDescent="0.25">
      <c r="A5" s="85"/>
      <c r="B5" s="171"/>
    </row>
    <row r="6" spans="1:15" s="179" customFormat="1" x14ac:dyDescent="0.25">
      <c r="A6" s="176" t="s">
        <v>97</v>
      </c>
      <c r="B6" s="177" t="s">
        <v>131</v>
      </c>
      <c r="C6" s="178" t="s">
        <v>132</v>
      </c>
      <c r="D6" s="176" t="s">
        <v>27</v>
      </c>
      <c r="E6" s="178" t="s">
        <v>133</v>
      </c>
      <c r="F6" s="178" t="s">
        <v>134</v>
      </c>
      <c r="G6" s="178" t="s">
        <v>135</v>
      </c>
      <c r="H6" s="178" t="s">
        <v>136</v>
      </c>
      <c r="I6" s="178" t="s">
        <v>10</v>
      </c>
      <c r="J6" s="178" t="s">
        <v>137</v>
      </c>
      <c r="K6" s="178" t="s">
        <v>10</v>
      </c>
      <c r="L6" s="178" t="s">
        <v>138</v>
      </c>
      <c r="M6" s="178" t="s">
        <v>6</v>
      </c>
      <c r="N6" s="178" t="s">
        <v>217</v>
      </c>
    </row>
    <row r="7" spans="1:15" s="184" customFormat="1" ht="30" x14ac:dyDescent="0.25">
      <c r="A7" s="180" t="s">
        <v>218</v>
      </c>
      <c r="B7" s="181" t="s">
        <v>219</v>
      </c>
      <c r="C7" s="189" t="s">
        <v>221</v>
      </c>
      <c r="D7" s="183"/>
      <c r="E7" s="182"/>
      <c r="F7" s="182"/>
      <c r="G7" s="182"/>
      <c r="H7" s="182"/>
      <c r="I7" s="182"/>
      <c r="J7" s="182"/>
      <c r="K7" s="182"/>
      <c r="L7" s="182"/>
      <c r="M7" s="182"/>
      <c r="N7" s="182"/>
    </row>
    <row r="8" spans="1:15" s="184" customFormat="1" x14ac:dyDescent="0.25">
      <c r="A8" s="185">
        <v>1</v>
      </c>
      <c r="B8" s="186"/>
      <c r="C8" s="187" t="s">
        <v>223</v>
      </c>
      <c r="D8" s="188"/>
      <c r="E8" s="187"/>
      <c r="F8" s="187"/>
      <c r="G8" s="187"/>
      <c r="H8" s="187"/>
      <c r="I8" s="187"/>
      <c r="J8" s="187">
        <f>SUM(H9:H14)/27</f>
        <v>8.2430444444444433</v>
      </c>
      <c r="K8" s="187" t="s">
        <v>222</v>
      </c>
      <c r="L8" s="187"/>
      <c r="M8" s="187"/>
      <c r="N8" s="187"/>
    </row>
    <row r="9" spans="1:15" s="184" customFormat="1" x14ac:dyDescent="0.25">
      <c r="A9" s="185"/>
      <c r="B9" s="186"/>
      <c r="C9" s="187"/>
      <c r="D9" s="188">
        <v>1</v>
      </c>
      <c r="E9" s="187">
        <v>12.33</v>
      </c>
      <c r="F9" s="187">
        <v>2</v>
      </c>
      <c r="G9" s="187">
        <v>1.33</v>
      </c>
      <c r="H9" s="187">
        <f>PRODUCT(D9:G9)</f>
        <v>32.797800000000002</v>
      </c>
      <c r="I9" s="187" t="s">
        <v>222</v>
      </c>
      <c r="J9" s="187"/>
      <c r="K9" s="187"/>
      <c r="L9" s="187"/>
      <c r="M9" s="187"/>
      <c r="N9" s="187"/>
    </row>
    <row r="10" spans="1:15" s="184" customFormat="1" x14ac:dyDescent="0.25">
      <c r="A10" s="185"/>
      <c r="B10" s="186"/>
      <c r="C10" s="187"/>
      <c r="D10" s="188">
        <v>1</v>
      </c>
      <c r="E10" s="187">
        <v>3</v>
      </c>
      <c r="F10" s="187">
        <v>2</v>
      </c>
      <c r="G10" s="187">
        <v>1.33</v>
      </c>
      <c r="H10" s="187">
        <f>PRODUCT(D10:G10)</f>
        <v>7.98</v>
      </c>
      <c r="I10" s="187" t="s">
        <v>222</v>
      </c>
      <c r="J10" s="187"/>
      <c r="K10" s="187"/>
      <c r="L10" s="187"/>
      <c r="M10" s="187"/>
      <c r="N10" s="187"/>
    </row>
    <row r="11" spans="1:15" s="184" customFormat="1" x14ac:dyDescent="0.25">
      <c r="A11" s="185"/>
      <c r="B11" s="186"/>
      <c r="C11" s="187"/>
      <c r="D11" s="188">
        <v>1</v>
      </c>
      <c r="E11" s="187">
        <v>5.67</v>
      </c>
      <c r="F11" s="187">
        <v>2</v>
      </c>
      <c r="G11" s="187">
        <v>1.33</v>
      </c>
      <c r="H11" s="187">
        <f t="shared" ref="H11:H20" si="0">PRODUCT(D11:G11)</f>
        <v>15.0822</v>
      </c>
      <c r="I11" s="187" t="s">
        <v>222</v>
      </c>
      <c r="J11" s="187"/>
      <c r="K11" s="187"/>
      <c r="L11" s="187"/>
      <c r="M11" s="187"/>
      <c r="N11" s="187"/>
    </row>
    <row r="12" spans="1:15" s="184" customFormat="1" x14ac:dyDescent="0.25">
      <c r="A12" s="185"/>
      <c r="B12" s="186"/>
      <c r="C12" s="187"/>
      <c r="D12" s="188">
        <v>1</v>
      </c>
      <c r="E12" s="187">
        <v>22</v>
      </c>
      <c r="F12" s="187">
        <v>2</v>
      </c>
      <c r="G12" s="187">
        <v>1.33</v>
      </c>
      <c r="H12" s="187">
        <f t="shared" si="0"/>
        <v>58.52</v>
      </c>
      <c r="I12" s="187" t="s">
        <v>222</v>
      </c>
      <c r="J12" s="187"/>
      <c r="K12" s="187"/>
      <c r="L12" s="187"/>
      <c r="M12" s="187"/>
      <c r="N12" s="187"/>
    </row>
    <row r="13" spans="1:15" s="184" customFormat="1" x14ac:dyDescent="0.25">
      <c r="A13" s="185"/>
      <c r="B13" s="186"/>
      <c r="C13" s="187"/>
      <c r="D13" s="188">
        <v>1</v>
      </c>
      <c r="E13" s="187">
        <v>18</v>
      </c>
      <c r="F13" s="187">
        <v>2</v>
      </c>
      <c r="G13" s="187">
        <v>1.33</v>
      </c>
      <c r="H13" s="187">
        <f t="shared" si="0"/>
        <v>47.88</v>
      </c>
      <c r="I13" s="187" t="s">
        <v>222</v>
      </c>
      <c r="J13" s="187"/>
      <c r="K13" s="187"/>
      <c r="L13" s="187"/>
      <c r="M13" s="187"/>
      <c r="N13" s="187"/>
    </row>
    <row r="14" spans="1:15" s="184" customFormat="1" x14ac:dyDescent="0.25">
      <c r="A14" s="185"/>
      <c r="B14" s="186"/>
      <c r="C14" s="187"/>
      <c r="D14" s="188">
        <v>1</v>
      </c>
      <c r="E14" s="187">
        <v>22.67</v>
      </c>
      <c r="F14" s="187">
        <v>2</v>
      </c>
      <c r="G14" s="187">
        <v>1.33</v>
      </c>
      <c r="H14" s="187">
        <f t="shared" si="0"/>
        <v>60.302200000000006</v>
      </c>
      <c r="I14" s="187" t="s">
        <v>222</v>
      </c>
      <c r="J14" s="187"/>
      <c r="K14" s="187"/>
      <c r="L14" s="187"/>
      <c r="M14" s="187"/>
      <c r="N14" s="187"/>
      <c r="O14" s="184">
        <f>32/12</f>
        <v>2.6666666666666665</v>
      </c>
    </row>
    <row r="15" spans="1:15" s="184" customFormat="1" x14ac:dyDescent="0.25">
      <c r="A15" s="185"/>
      <c r="B15" s="186"/>
      <c r="C15" s="187" t="s">
        <v>224</v>
      </c>
      <c r="D15" s="188"/>
      <c r="E15" s="187"/>
      <c r="F15" s="187"/>
      <c r="G15" s="187"/>
      <c r="H15" s="187"/>
      <c r="I15" s="187"/>
      <c r="J15" s="187">
        <f>SUM(H16:H17)/27</f>
        <v>7.3652444444444436</v>
      </c>
      <c r="K15" s="187" t="s">
        <v>222</v>
      </c>
      <c r="L15" s="187"/>
      <c r="M15" s="187"/>
      <c r="N15" s="187"/>
    </row>
    <row r="16" spans="1:15" s="184" customFormat="1" x14ac:dyDescent="0.25">
      <c r="A16" s="185"/>
      <c r="B16" s="186"/>
      <c r="C16" s="187"/>
      <c r="D16" s="188">
        <v>1</v>
      </c>
      <c r="E16" s="187">
        <v>28</v>
      </c>
      <c r="F16" s="187">
        <v>2.67</v>
      </c>
      <c r="G16" s="187">
        <v>1.33</v>
      </c>
      <c r="H16" s="187">
        <f t="shared" si="0"/>
        <v>99.430799999999991</v>
      </c>
      <c r="I16" s="187" t="s">
        <v>222</v>
      </c>
      <c r="J16" s="187"/>
      <c r="K16" s="187"/>
      <c r="L16" s="187"/>
      <c r="M16" s="187"/>
      <c r="N16" s="187"/>
    </row>
    <row r="17" spans="1:15" s="184" customFormat="1" x14ac:dyDescent="0.25">
      <c r="A17" s="185"/>
      <c r="B17" s="186"/>
      <c r="C17" s="187"/>
      <c r="D17" s="188">
        <v>1</v>
      </c>
      <c r="E17" s="187">
        <v>28</v>
      </c>
      <c r="F17" s="187">
        <v>2.67</v>
      </c>
      <c r="G17" s="187">
        <v>1.33</v>
      </c>
      <c r="H17" s="187">
        <f t="shared" si="0"/>
        <v>99.430799999999991</v>
      </c>
      <c r="I17" s="187" t="s">
        <v>222</v>
      </c>
      <c r="J17" s="187"/>
      <c r="K17" s="187"/>
      <c r="L17" s="187"/>
      <c r="M17" s="187"/>
      <c r="N17" s="187"/>
    </row>
    <row r="18" spans="1:15" s="184" customFormat="1" x14ac:dyDescent="0.25">
      <c r="A18" s="185"/>
      <c r="B18" s="186"/>
      <c r="C18" s="187" t="s">
        <v>225</v>
      </c>
      <c r="D18" s="188"/>
      <c r="E18" s="187"/>
      <c r="F18" s="187"/>
      <c r="G18" s="187"/>
      <c r="H18" s="187"/>
      <c r="I18" s="187"/>
      <c r="J18" s="187">
        <f>SUM(H19:H27)/27</f>
        <v>13.644814814814819</v>
      </c>
      <c r="K18" s="187" t="s">
        <v>222</v>
      </c>
      <c r="L18" s="187"/>
      <c r="M18" s="187"/>
      <c r="N18" s="187"/>
    </row>
    <row r="19" spans="1:15" s="184" customFormat="1" x14ac:dyDescent="0.25">
      <c r="A19" s="185"/>
      <c r="B19" s="186"/>
      <c r="C19" s="187"/>
      <c r="D19" s="188">
        <v>1</v>
      </c>
      <c r="E19" s="187">
        <v>28</v>
      </c>
      <c r="F19" s="187">
        <v>1.33</v>
      </c>
      <c r="G19" s="187">
        <v>1</v>
      </c>
      <c r="H19" s="187">
        <f t="shared" si="0"/>
        <v>37.24</v>
      </c>
      <c r="I19" s="187" t="s">
        <v>222</v>
      </c>
      <c r="J19" s="187"/>
      <c r="K19" s="187"/>
      <c r="L19" s="187"/>
      <c r="M19" s="187"/>
      <c r="N19" s="187"/>
    </row>
    <row r="20" spans="1:15" s="184" customFormat="1" x14ac:dyDescent="0.25">
      <c r="A20" s="185"/>
      <c r="B20" s="186"/>
      <c r="C20" s="187"/>
      <c r="D20" s="188">
        <v>1</v>
      </c>
      <c r="E20" s="187">
        <v>84.67</v>
      </c>
      <c r="F20" s="187">
        <v>1.33</v>
      </c>
      <c r="G20" s="187">
        <v>1</v>
      </c>
      <c r="H20" s="187">
        <f t="shared" si="0"/>
        <v>112.61110000000001</v>
      </c>
      <c r="I20" s="187" t="s">
        <v>222</v>
      </c>
      <c r="J20" s="187"/>
      <c r="K20" s="187"/>
      <c r="L20" s="187"/>
      <c r="M20" s="187"/>
      <c r="N20" s="187"/>
    </row>
    <row r="21" spans="1:15" s="184" customFormat="1" x14ac:dyDescent="0.25">
      <c r="A21" s="185"/>
      <c r="B21" s="186"/>
      <c r="C21" s="187"/>
      <c r="D21" s="188">
        <v>1</v>
      </c>
      <c r="E21" s="187">
        <v>42.67</v>
      </c>
      <c r="F21" s="187">
        <v>1.33</v>
      </c>
      <c r="G21" s="187">
        <v>1</v>
      </c>
      <c r="H21" s="187">
        <f t="shared" ref="H21:H27" si="1">PRODUCT(D21:G21)</f>
        <v>56.751100000000008</v>
      </c>
      <c r="I21" s="187" t="s">
        <v>222</v>
      </c>
      <c r="J21" s="187"/>
      <c r="K21" s="187"/>
      <c r="L21" s="187"/>
      <c r="M21" s="187"/>
      <c r="N21" s="187"/>
    </row>
    <row r="22" spans="1:15" s="184" customFormat="1" x14ac:dyDescent="0.25">
      <c r="A22" s="185"/>
      <c r="B22" s="186"/>
      <c r="C22" s="187"/>
      <c r="D22" s="188">
        <v>1</v>
      </c>
      <c r="E22" s="187">
        <v>76.5</v>
      </c>
      <c r="F22" s="187">
        <v>1.33</v>
      </c>
      <c r="G22" s="187">
        <v>1</v>
      </c>
      <c r="H22" s="187">
        <f t="shared" si="1"/>
        <v>101.745</v>
      </c>
      <c r="I22" s="187" t="s">
        <v>222</v>
      </c>
      <c r="J22" s="187"/>
      <c r="K22" s="187"/>
      <c r="L22" s="187"/>
      <c r="M22" s="187"/>
      <c r="N22" s="187"/>
    </row>
    <row r="23" spans="1:15" s="184" customFormat="1" x14ac:dyDescent="0.25">
      <c r="A23" s="185"/>
      <c r="B23" s="186"/>
      <c r="C23" s="187"/>
      <c r="D23" s="188">
        <v>1</v>
      </c>
      <c r="E23" s="187">
        <v>6</v>
      </c>
      <c r="F23" s="187">
        <v>1.33</v>
      </c>
      <c r="G23" s="187">
        <v>1</v>
      </c>
      <c r="H23" s="187">
        <f t="shared" si="1"/>
        <v>7.98</v>
      </c>
      <c r="I23" s="187" t="s">
        <v>222</v>
      </c>
      <c r="J23" s="187"/>
      <c r="K23" s="187"/>
      <c r="L23" s="187"/>
      <c r="M23" s="187"/>
      <c r="N23" s="187"/>
    </row>
    <row r="24" spans="1:15" s="184" customFormat="1" x14ac:dyDescent="0.25">
      <c r="A24" s="185"/>
      <c r="B24" s="186"/>
      <c r="C24" s="187"/>
      <c r="D24" s="188">
        <v>1</v>
      </c>
      <c r="E24" s="187">
        <v>18.329999999999998</v>
      </c>
      <c r="F24" s="187">
        <v>1.33</v>
      </c>
      <c r="G24" s="187">
        <v>1</v>
      </c>
      <c r="H24" s="187">
        <f t="shared" si="1"/>
        <v>24.378899999999998</v>
      </c>
      <c r="I24" s="187" t="s">
        <v>222</v>
      </c>
      <c r="J24" s="187"/>
      <c r="K24" s="187"/>
      <c r="L24" s="187"/>
      <c r="M24" s="187"/>
      <c r="N24" s="187"/>
    </row>
    <row r="25" spans="1:15" s="184" customFormat="1" x14ac:dyDescent="0.25">
      <c r="A25" s="185"/>
      <c r="B25" s="186"/>
      <c r="C25" s="187"/>
      <c r="D25" s="188">
        <v>1</v>
      </c>
      <c r="E25" s="187">
        <v>7.5</v>
      </c>
      <c r="F25" s="187">
        <v>1.33</v>
      </c>
      <c r="G25" s="187">
        <v>1</v>
      </c>
      <c r="H25" s="187">
        <f t="shared" si="1"/>
        <v>9.9750000000000014</v>
      </c>
      <c r="I25" s="187" t="s">
        <v>222</v>
      </c>
      <c r="J25" s="187"/>
      <c r="K25" s="187"/>
      <c r="L25" s="187"/>
      <c r="M25" s="187"/>
      <c r="N25" s="187"/>
    </row>
    <row r="26" spans="1:15" s="184" customFormat="1" x14ac:dyDescent="0.25">
      <c r="A26" s="185"/>
      <c r="B26" s="186"/>
      <c r="C26" s="187"/>
      <c r="D26" s="188">
        <v>1</v>
      </c>
      <c r="E26" s="187">
        <v>6</v>
      </c>
      <c r="F26" s="187">
        <v>1.33</v>
      </c>
      <c r="G26" s="187">
        <v>1</v>
      </c>
      <c r="H26" s="187">
        <f t="shared" si="1"/>
        <v>7.98</v>
      </c>
      <c r="I26" s="187" t="s">
        <v>222</v>
      </c>
      <c r="J26" s="187"/>
      <c r="K26" s="187"/>
      <c r="L26" s="187"/>
      <c r="M26" s="187"/>
      <c r="N26" s="187"/>
    </row>
    <row r="27" spans="1:15" s="184" customFormat="1" x14ac:dyDescent="0.25">
      <c r="A27" s="185"/>
      <c r="B27" s="186"/>
      <c r="C27" s="187"/>
      <c r="D27" s="188">
        <v>1</v>
      </c>
      <c r="E27" s="187">
        <v>7.33</v>
      </c>
      <c r="F27" s="187">
        <v>1.33</v>
      </c>
      <c r="G27" s="187">
        <v>1</v>
      </c>
      <c r="H27" s="187">
        <f t="shared" si="1"/>
        <v>9.7489000000000008</v>
      </c>
      <c r="I27" s="187" t="s">
        <v>222</v>
      </c>
      <c r="J27" s="187"/>
      <c r="K27" s="187"/>
      <c r="L27" s="187"/>
      <c r="M27" s="187"/>
      <c r="N27" s="187"/>
    </row>
    <row r="28" spans="1:15" s="184" customFormat="1" x14ac:dyDescent="0.25">
      <c r="A28" s="185"/>
      <c r="B28" s="186"/>
      <c r="C28" s="187"/>
      <c r="D28" s="188"/>
      <c r="E28" s="187"/>
      <c r="F28" s="187"/>
      <c r="G28" s="187"/>
      <c r="H28" s="187"/>
      <c r="I28" s="187"/>
      <c r="J28" s="187"/>
      <c r="K28" s="187"/>
      <c r="L28" s="187"/>
      <c r="M28" s="187"/>
      <c r="N28" s="187"/>
    </row>
    <row r="29" spans="1:15" s="184" customFormat="1" x14ac:dyDescent="0.25">
      <c r="A29" s="185"/>
      <c r="B29" s="186"/>
      <c r="C29" s="187" t="s">
        <v>226</v>
      </c>
      <c r="D29" s="188"/>
      <c r="E29" s="187"/>
      <c r="F29" s="187"/>
      <c r="G29" s="187"/>
      <c r="H29" s="187"/>
      <c r="I29" s="187"/>
      <c r="J29" s="187">
        <f>SUM(H30:H44)/27</f>
        <v>12.375937037037035</v>
      </c>
      <c r="K29" s="187" t="s">
        <v>222</v>
      </c>
      <c r="L29" s="187"/>
      <c r="M29" s="187"/>
      <c r="N29" s="187"/>
    </row>
    <row r="30" spans="1:15" s="184" customFormat="1" x14ac:dyDescent="0.25">
      <c r="A30" s="185"/>
      <c r="B30" s="186"/>
      <c r="C30" s="187"/>
      <c r="D30" s="188">
        <v>1</v>
      </c>
      <c r="E30" s="187">
        <v>7.33</v>
      </c>
      <c r="F30" s="187">
        <v>1.67</v>
      </c>
      <c r="G30" s="187">
        <v>1</v>
      </c>
      <c r="H30" s="187">
        <f t="shared" ref="H30:H44" si="2">PRODUCT(D30:G30)</f>
        <v>12.241099999999999</v>
      </c>
      <c r="I30" s="187" t="s">
        <v>222</v>
      </c>
      <c r="J30" s="187"/>
      <c r="K30" s="187"/>
      <c r="L30" s="187"/>
      <c r="M30" s="187"/>
      <c r="N30" s="187"/>
      <c r="O30" s="184">
        <f>20/12</f>
        <v>1.6666666666666667</v>
      </c>
    </row>
    <row r="31" spans="1:15" s="184" customFormat="1" x14ac:dyDescent="0.25">
      <c r="A31" s="185"/>
      <c r="B31" s="186"/>
      <c r="C31" s="187"/>
      <c r="D31" s="188">
        <v>1</v>
      </c>
      <c r="E31" s="187">
        <v>7.5</v>
      </c>
      <c r="F31" s="187">
        <v>1.67</v>
      </c>
      <c r="G31" s="187">
        <v>1</v>
      </c>
      <c r="H31" s="187">
        <f t="shared" si="2"/>
        <v>12.524999999999999</v>
      </c>
      <c r="I31" s="187" t="s">
        <v>222</v>
      </c>
      <c r="J31" s="187"/>
      <c r="K31" s="187"/>
      <c r="L31" s="187"/>
      <c r="M31" s="187"/>
      <c r="N31" s="187"/>
    </row>
    <row r="32" spans="1:15" s="184" customFormat="1" x14ac:dyDescent="0.25">
      <c r="A32" s="185"/>
      <c r="B32" s="186"/>
      <c r="C32" s="187"/>
      <c r="D32" s="188">
        <v>1</v>
      </c>
      <c r="E32" s="187">
        <v>21.67</v>
      </c>
      <c r="F32" s="187">
        <v>1.67</v>
      </c>
      <c r="G32" s="187">
        <v>1</v>
      </c>
      <c r="H32" s="187">
        <f t="shared" si="2"/>
        <v>36.188900000000004</v>
      </c>
      <c r="I32" s="187" t="s">
        <v>222</v>
      </c>
      <c r="J32" s="187"/>
      <c r="K32" s="187"/>
      <c r="L32" s="187"/>
      <c r="M32" s="187"/>
      <c r="N32" s="187"/>
    </row>
    <row r="33" spans="1:15" s="184" customFormat="1" x14ac:dyDescent="0.25">
      <c r="A33" s="185"/>
      <c r="B33" s="186"/>
      <c r="C33" s="187"/>
      <c r="D33" s="188">
        <v>1</v>
      </c>
      <c r="E33" s="187">
        <v>60.67</v>
      </c>
      <c r="F33" s="187">
        <v>1.67</v>
      </c>
      <c r="G33" s="187">
        <v>1</v>
      </c>
      <c r="H33" s="187">
        <f t="shared" si="2"/>
        <v>101.3189</v>
      </c>
      <c r="I33" s="187" t="s">
        <v>222</v>
      </c>
      <c r="J33" s="187"/>
      <c r="K33" s="187"/>
      <c r="L33" s="187"/>
      <c r="M33" s="187"/>
      <c r="N33" s="187"/>
    </row>
    <row r="34" spans="1:15" s="184" customFormat="1" x14ac:dyDescent="0.25">
      <c r="A34" s="185"/>
      <c r="B34" s="186"/>
      <c r="C34" s="187"/>
      <c r="D34" s="188">
        <v>1</v>
      </c>
      <c r="E34" s="187">
        <v>21.67</v>
      </c>
      <c r="F34" s="187">
        <v>1.67</v>
      </c>
      <c r="G34" s="187">
        <v>1</v>
      </c>
      <c r="H34" s="187">
        <f t="shared" si="2"/>
        <v>36.188900000000004</v>
      </c>
      <c r="I34" s="187" t="s">
        <v>222</v>
      </c>
      <c r="J34" s="187"/>
      <c r="K34" s="187"/>
      <c r="L34" s="187"/>
      <c r="M34" s="187"/>
      <c r="N34" s="187"/>
    </row>
    <row r="35" spans="1:15" s="184" customFormat="1" x14ac:dyDescent="0.25">
      <c r="A35" s="185"/>
      <c r="B35" s="186"/>
      <c r="C35" s="187"/>
      <c r="D35" s="188">
        <v>1</v>
      </c>
      <c r="E35" s="187">
        <v>5.17</v>
      </c>
      <c r="F35" s="187">
        <v>1.67</v>
      </c>
      <c r="G35" s="187">
        <v>1</v>
      </c>
      <c r="H35" s="187">
        <f t="shared" si="2"/>
        <v>8.6338999999999988</v>
      </c>
      <c r="I35" s="187" t="s">
        <v>222</v>
      </c>
      <c r="J35" s="187"/>
      <c r="K35" s="187"/>
      <c r="L35" s="187"/>
      <c r="M35" s="187"/>
      <c r="N35" s="187"/>
    </row>
    <row r="36" spans="1:15" s="184" customFormat="1" x14ac:dyDescent="0.25">
      <c r="A36" s="185"/>
      <c r="B36" s="186"/>
      <c r="C36" s="187"/>
      <c r="D36" s="188">
        <v>1</v>
      </c>
      <c r="E36" s="187">
        <v>3.5</v>
      </c>
      <c r="F36" s="187">
        <v>1.67</v>
      </c>
      <c r="G36" s="187">
        <v>1</v>
      </c>
      <c r="H36" s="187">
        <f t="shared" si="2"/>
        <v>5.8449999999999998</v>
      </c>
      <c r="I36" s="187" t="s">
        <v>222</v>
      </c>
      <c r="J36" s="187"/>
      <c r="K36" s="187"/>
      <c r="L36" s="187"/>
      <c r="M36" s="187"/>
      <c r="N36" s="187"/>
    </row>
    <row r="37" spans="1:15" s="184" customFormat="1" x14ac:dyDescent="0.25">
      <c r="A37" s="185"/>
      <c r="B37" s="186"/>
      <c r="C37" s="187"/>
      <c r="D37" s="188">
        <v>1</v>
      </c>
      <c r="E37" s="187">
        <v>18.329999999999998</v>
      </c>
      <c r="F37" s="187">
        <v>1.67</v>
      </c>
      <c r="G37" s="187">
        <v>1</v>
      </c>
      <c r="H37" s="187">
        <f t="shared" si="2"/>
        <v>30.611099999999997</v>
      </c>
      <c r="I37" s="187" t="s">
        <v>222</v>
      </c>
      <c r="J37" s="187"/>
      <c r="K37" s="187"/>
      <c r="L37" s="187"/>
      <c r="M37" s="187"/>
      <c r="N37" s="187"/>
    </row>
    <row r="38" spans="1:15" s="184" customFormat="1" x14ac:dyDescent="0.25">
      <c r="A38" s="185"/>
      <c r="B38" s="186"/>
      <c r="C38" s="187"/>
      <c r="D38" s="188">
        <v>1</v>
      </c>
      <c r="E38" s="187">
        <v>3.5</v>
      </c>
      <c r="F38" s="187">
        <v>1.67</v>
      </c>
      <c r="G38" s="187">
        <v>1</v>
      </c>
      <c r="H38" s="187">
        <f t="shared" si="2"/>
        <v>5.8449999999999998</v>
      </c>
      <c r="I38" s="187" t="s">
        <v>222</v>
      </c>
      <c r="J38" s="187"/>
      <c r="K38" s="187"/>
      <c r="L38" s="187"/>
      <c r="M38" s="187"/>
      <c r="N38" s="187"/>
    </row>
    <row r="39" spans="1:15" s="184" customFormat="1" x14ac:dyDescent="0.25">
      <c r="A39" s="185"/>
      <c r="B39" s="186"/>
      <c r="C39" s="187"/>
      <c r="D39" s="188">
        <v>1</v>
      </c>
      <c r="E39" s="187">
        <v>8.17</v>
      </c>
      <c r="F39" s="187">
        <v>1.67</v>
      </c>
      <c r="G39" s="187">
        <v>1</v>
      </c>
      <c r="H39" s="187">
        <f t="shared" si="2"/>
        <v>13.643899999999999</v>
      </c>
      <c r="I39" s="187" t="s">
        <v>222</v>
      </c>
      <c r="J39" s="187"/>
      <c r="K39" s="187"/>
      <c r="L39" s="187"/>
      <c r="M39" s="187"/>
      <c r="N39" s="187"/>
    </row>
    <row r="40" spans="1:15" s="184" customFormat="1" x14ac:dyDescent="0.25">
      <c r="A40" s="185"/>
      <c r="B40" s="186"/>
      <c r="C40" s="187"/>
      <c r="D40" s="188">
        <v>1</v>
      </c>
      <c r="E40" s="187">
        <v>5.25</v>
      </c>
      <c r="F40" s="187">
        <v>1.67</v>
      </c>
      <c r="G40" s="187">
        <v>1</v>
      </c>
      <c r="H40" s="187">
        <f t="shared" si="2"/>
        <v>8.7675000000000001</v>
      </c>
      <c r="I40" s="187" t="s">
        <v>222</v>
      </c>
      <c r="J40" s="187"/>
      <c r="K40" s="187"/>
      <c r="L40" s="187"/>
      <c r="M40" s="187"/>
      <c r="N40" s="187"/>
    </row>
    <row r="41" spans="1:15" s="184" customFormat="1" x14ac:dyDescent="0.25">
      <c r="A41" s="185"/>
      <c r="B41" s="186"/>
      <c r="C41" s="187"/>
      <c r="D41" s="188">
        <v>1</v>
      </c>
      <c r="E41" s="187">
        <v>8.67</v>
      </c>
      <c r="F41" s="187">
        <v>1.67</v>
      </c>
      <c r="G41" s="187">
        <v>1</v>
      </c>
      <c r="H41" s="187">
        <f t="shared" si="2"/>
        <v>14.478899999999999</v>
      </c>
      <c r="I41" s="187" t="s">
        <v>222</v>
      </c>
      <c r="J41" s="187"/>
      <c r="K41" s="187"/>
      <c r="L41" s="187"/>
      <c r="M41" s="187"/>
      <c r="N41" s="187"/>
    </row>
    <row r="42" spans="1:15" s="184" customFormat="1" x14ac:dyDescent="0.25">
      <c r="A42" s="185"/>
      <c r="B42" s="186"/>
      <c r="C42" s="187"/>
      <c r="D42" s="188">
        <v>1</v>
      </c>
      <c r="E42" s="187">
        <v>16.329999999999998</v>
      </c>
      <c r="F42" s="187">
        <v>1.67</v>
      </c>
      <c r="G42" s="187">
        <v>1</v>
      </c>
      <c r="H42" s="187">
        <f t="shared" si="2"/>
        <v>27.271099999999997</v>
      </c>
      <c r="I42" s="187" t="s">
        <v>222</v>
      </c>
      <c r="J42" s="187"/>
      <c r="K42" s="187"/>
      <c r="L42" s="187"/>
      <c r="M42" s="187"/>
      <c r="N42" s="187"/>
    </row>
    <row r="43" spans="1:15" s="184" customFormat="1" x14ac:dyDescent="0.25">
      <c r="A43" s="185"/>
      <c r="B43" s="186"/>
      <c r="C43" s="187"/>
      <c r="D43" s="188">
        <v>1</v>
      </c>
      <c r="E43" s="187">
        <v>7</v>
      </c>
      <c r="F43" s="187">
        <v>1.67</v>
      </c>
      <c r="G43" s="187">
        <v>1</v>
      </c>
      <c r="H43" s="187">
        <f t="shared" si="2"/>
        <v>11.69</v>
      </c>
      <c r="I43" s="187" t="s">
        <v>222</v>
      </c>
      <c r="J43" s="187"/>
      <c r="K43" s="187"/>
      <c r="L43" s="187"/>
      <c r="M43" s="187"/>
      <c r="N43" s="187"/>
    </row>
    <row r="44" spans="1:15" s="184" customFormat="1" x14ac:dyDescent="0.25">
      <c r="A44" s="185"/>
      <c r="B44" s="186"/>
      <c r="C44" s="187"/>
      <c r="D44" s="188">
        <v>1</v>
      </c>
      <c r="E44" s="187">
        <v>5.33</v>
      </c>
      <c r="F44" s="187">
        <v>1.67</v>
      </c>
      <c r="G44" s="187">
        <v>1</v>
      </c>
      <c r="H44" s="187">
        <f t="shared" si="2"/>
        <v>8.9010999999999996</v>
      </c>
      <c r="I44" s="187" t="s">
        <v>222</v>
      </c>
      <c r="J44" s="187"/>
      <c r="K44" s="187"/>
      <c r="L44" s="187"/>
      <c r="M44" s="187"/>
      <c r="N44" s="187"/>
    </row>
    <row r="45" spans="1:15" s="184" customFormat="1" x14ac:dyDescent="0.25">
      <c r="A45" s="185"/>
      <c r="B45" s="186"/>
      <c r="C45" s="187" t="s">
        <v>227</v>
      </c>
      <c r="D45" s="188"/>
      <c r="E45" s="187"/>
      <c r="F45" s="187"/>
      <c r="G45" s="187"/>
      <c r="H45" s="187"/>
      <c r="I45" s="187"/>
      <c r="J45" s="187">
        <f>SUM(H46:H49)/27</f>
        <v>9.5757592592592609</v>
      </c>
      <c r="K45" s="187" t="s">
        <v>222</v>
      </c>
      <c r="L45" s="187"/>
      <c r="M45" s="187"/>
      <c r="N45" s="187"/>
      <c r="O45" s="184">
        <f>32/12</f>
        <v>2.6666666666666665</v>
      </c>
    </row>
    <row r="46" spans="1:15" s="184" customFormat="1" x14ac:dyDescent="0.25">
      <c r="A46" s="185"/>
      <c r="B46" s="186"/>
      <c r="C46" s="187"/>
      <c r="D46" s="188">
        <v>1</v>
      </c>
      <c r="E46" s="187">
        <v>7.33</v>
      </c>
      <c r="F46" s="187">
        <v>2.67</v>
      </c>
      <c r="G46" s="187">
        <v>1</v>
      </c>
      <c r="H46" s="187">
        <f>PRODUCT(D46:G46)</f>
        <v>19.571100000000001</v>
      </c>
      <c r="I46" s="187" t="s">
        <v>222</v>
      </c>
      <c r="J46" s="187"/>
      <c r="K46" s="187"/>
      <c r="L46" s="187"/>
      <c r="M46" s="187"/>
      <c r="N46" s="187"/>
    </row>
    <row r="47" spans="1:15" s="184" customFormat="1" x14ac:dyDescent="0.25">
      <c r="A47" s="185"/>
      <c r="B47" s="186"/>
      <c r="C47" s="187"/>
      <c r="D47" s="188">
        <v>1</v>
      </c>
      <c r="E47" s="187">
        <v>7.5</v>
      </c>
      <c r="F47" s="187">
        <v>2</v>
      </c>
      <c r="G47" s="187">
        <v>1.33</v>
      </c>
      <c r="H47" s="187">
        <f>PRODUCT(D47:G47)</f>
        <v>19.950000000000003</v>
      </c>
      <c r="I47" s="187" t="s">
        <v>222</v>
      </c>
      <c r="J47" s="187"/>
      <c r="K47" s="187"/>
      <c r="L47" s="187"/>
      <c r="M47" s="187"/>
      <c r="N47" s="187"/>
    </row>
    <row r="48" spans="1:15" s="184" customFormat="1" x14ac:dyDescent="0.25">
      <c r="A48" s="185"/>
      <c r="B48" s="186"/>
      <c r="C48" s="187"/>
      <c r="D48" s="188">
        <v>1</v>
      </c>
      <c r="E48" s="187">
        <v>21.67</v>
      </c>
      <c r="F48" s="187">
        <v>2</v>
      </c>
      <c r="G48" s="187">
        <v>1.33</v>
      </c>
      <c r="H48" s="187">
        <f>PRODUCT(D48:G48)</f>
        <v>57.64220000000001</v>
      </c>
      <c r="I48" s="187" t="s">
        <v>222</v>
      </c>
      <c r="J48" s="187"/>
      <c r="K48" s="187"/>
      <c r="L48" s="187"/>
      <c r="M48" s="187"/>
      <c r="N48" s="187"/>
    </row>
    <row r="49" spans="1:22" s="184" customFormat="1" x14ac:dyDescent="0.25">
      <c r="A49" s="185"/>
      <c r="B49" s="186"/>
      <c r="C49" s="187"/>
      <c r="D49" s="188">
        <v>1</v>
      </c>
      <c r="E49" s="187">
        <v>60.67</v>
      </c>
      <c r="F49" s="187">
        <v>2</v>
      </c>
      <c r="G49" s="187">
        <v>1.33</v>
      </c>
      <c r="H49" s="187">
        <f>PRODUCT(D49:G49)</f>
        <v>161.38220000000001</v>
      </c>
      <c r="I49" s="187" t="s">
        <v>222</v>
      </c>
      <c r="J49" s="187"/>
      <c r="K49" s="187"/>
      <c r="L49" s="187"/>
      <c r="M49" s="187"/>
      <c r="N49" s="187"/>
    </row>
    <row r="50" spans="1:22" s="184" customFormat="1" x14ac:dyDescent="0.25">
      <c r="A50" s="185"/>
      <c r="B50" s="186"/>
      <c r="C50" s="187" t="s">
        <v>228</v>
      </c>
      <c r="D50" s="188"/>
      <c r="E50" s="187"/>
      <c r="F50" s="187"/>
      <c r="G50" s="187"/>
      <c r="H50" s="187"/>
      <c r="I50" s="187"/>
      <c r="J50" s="187">
        <f>SUM(H51)/27</f>
        <v>8.3066666666666666</v>
      </c>
      <c r="K50" s="187" t="s">
        <v>222</v>
      </c>
      <c r="L50" s="187"/>
      <c r="M50" s="187"/>
      <c r="N50" s="187"/>
      <c r="O50" s="184">
        <f>32/12</f>
        <v>2.6666666666666665</v>
      </c>
    </row>
    <row r="51" spans="1:22" s="184" customFormat="1" x14ac:dyDescent="0.25">
      <c r="A51" s="185"/>
      <c r="B51" s="186"/>
      <c r="C51" s="187"/>
      <c r="D51" s="188">
        <v>2</v>
      </c>
      <c r="E51" s="187">
        <v>42</v>
      </c>
      <c r="F51" s="187">
        <v>2.67</v>
      </c>
      <c r="G51" s="187">
        <v>1</v>
      </c>
      <c r="H51" s="187">
        <f>PRODUCT(D51:G51)</f>
        <v>224.28</v>
      </c>
      <c r="I51" s="187" t="s">
        <v>222</v>
      </c>
      <c r="J51" s="187"/>
      <c r="K51" s="187"/>
      <c r="L51" s="187"/>
      <c r="M51" s="187"/>
      <c r="N51" s="187"/>
    </row>
    <row r="52" spans="1:22" s="184" customFormat="1" x14ac:dyDescent="0.25">
      <c r="A52" s="185"/>
      <c r="B52" s="186"/>
      <c r="C52" s="187"/>
      <c r="D52" s="188"/>
      <c r="E52" s="187"/>
      <c r="F52" s="187"/>
      <c r="G52" s="187"/>
      <c r="H52" s="187"/>
      <c r="I52" s="187"/>
      <c r="J52" s="187"/>
      <c r="K52" s="187"/>
      <c r="L52" s="187"/>
      <c r="M52" s="187"/>
      <c r="N52" s="187"/>
    </row>
    <row r="53" spans="1:22" s="184" customFormat="1" x14ac:dyDescent="0.25">
      <c r="A53" s="185"/>
      <c r="B53" s="186"/>
      <c r="C53" s="187" t="s">
        <v>230</v>
      </c>
      <c r="D53" s="188"/>
      <c r="E53" s="187"/>
      <c r="F53" s="187"/>
      <c r="G53" s="187"/>
      <c r="H53" s="187"/>
      <c r="I53" s="187"/>
      <c r="J53" s="187">
        <f>SUM(H54:H55)/27</f>
        <v>9.9271947873799729</v>
      </c>
      <c r="K53" s="187" t="s">
        <v>222</v>
      </c>
      <c r="L53" s="187"/>
      <c r="M53" s="187"/>
      <c r="N53" s="187"/>
    </row>
    <row r="54" spans="1:22" s="184" customFormat="1" x14ac:dyDescent="0.25">
      <c r="A54" s="185"/>
      <c r="B54" s="186"/>
      <c r="C54" s="187"/>
      <c r="D54" s="188">
        <v>5</v>
      </c>
      <c r="E54" s="187">
        <f>56/12</f>
        <v>4.666666666666667</v>
      </c>
      <c r="F54" s="187">
        <f>80/12</f>
        <v>6.666666666666667</v>
      </c>
      <c r="G54" s="187">
        <f>20/12</f>
        <v>1.6666666666666667</v>
      </c>
      <c r="H54" s="187">
        <f>PRODUCT(D54:G54)</f>
        <v>259.2592592592593</v>
      </c>
      <c r="I54" s="187" t="s">
        <v>222</v>
      </c>
      <c r="J54" s="187"/>
      <c r="K54" s="187"/>
      <c r="L54" s="187"/>
      <c r="M54" s="187"/>
      <c r="N54" s="187"/>
    </row>
    <row r="55" spans="1:22" s="184" customFormat="1" x14ac:dyDescent="0.25">
      <c r="A55" s="185"/>
      <c r="B55" s="186"/>
      <c r="C55" s="187"/>
      <c r="D55" s="188">
        <v>5</v>
      </c>
      <c r="E55" s="187">
        <v>1.5</v>
      </c>
      <c r="F55" s="187">
        <v>1</v>
      </c>
      <c r="G55" s="187">
        <f>20/12</f>
        <v>1.6666666666666667</v>
      </c>
      <c r="H55" s="187">
        <f>V58*D55</f>
        <v>8.7749999999999986</v>
      </c>
      <c r="I55" s="187" t="s">
        <v>222</v>
      </c>
      <c r="J55" s="187"/>
      <c r="K55" s="187"/>
      <c r="L55" s="187"/>
      <c r="M55" s="187" t="s">
        <v>236</v>
      </c>
      <c r="N55" s="187"/>
      <c r="P55" s="184">
        <v>1.5</v>
      </c>
      <c r="R55" s="190" t="s">
        <v>231</v>
      </c>
    </row>
    <row r="56" spans="1:22" s="184" customFormat="1" x14ac:dyDescent="0.25">
      <c r="A56" s="185"/>
      <c r="B56" s="186"/>
      <c r="C56" s="187"/>
      <c r="D56" s="188"/>
      <c r="E56" s="187"/>
      <c r="F56" s="187"/>
      <c r="G56" s="187"/>
      <c r="H56" s="187"/>
      <c r="I56" s="187"/>
      <c r="J56" s="187"/>
      <c r="K56" s="187"/>
      <c r="L56" s="187"/>
      <c r="M56" s="187"/>
      <c r="N56" s="187"/>
      <c r="P56" s="184">
        <v>1.17</v>
      </c>
    </row>
    <row r="57" spans="1:22" s="184" customFormat="1" x14ac:dyDescent="0.25">
      <c r="A57" s="185"/>
      <c r="B57" s="186"/>
      <c r="C57" s="187" t="s">
        <v>229</v>
      </c>
      <c r="D57" s="188"/>
      <c r="E57" s="187"/>
      <c r="F57" s="187"/>
      <c r="G57" s="187"/>
      <c r="H57" s="187"/>
      <c r="I57" s="187"/>
      <c r="J57" s="187">
        <f>SUM(H58:H59)/27</f>
        <v>6.3522222222222222</v>
      </c>
      <c r="K57" s="187" t="s">
        <v>222</v>
      </c>
      <c r="L57" s="187"/>
      <c r="M57" s="187"/>
      <c r="N57" s="187"/>
      <c r="P57" s="191"/>
      <c r="Q57" s="191" t="s">
        <v>232</v>
      </c>
      <c r="R57" s="191" t="s">
        <v>233</v>
      </c>
      <c r="S57" s="191" t="s">
        <v>235</v>
      </c>
      <c r="T57" s="191"/>
      <c r="U57" s="191" t="s">
        <v>234</v>
      </c>
      <c r="V57" s="191" t="s">
        <v>159</v>
      </c>
    </row>
    <row r="58" spans="1:22" s="184" customFormat="1" x14ac:dyDescent="0.25">
      <c r="A58" s="185"/>
      <c r="B58" s="186"/>
      <c r="C58" s="187"/>
      <c r="D58" s="188">
        <v>2</v>
      </c>
      <c r="E58" s="187">
        <f>56/12</f>
        <v>4.666666666666667</v>
      </c>
      <c r="F58" s="187">
        <f>108/12</f>
        <v>9</v>
      </c>
      <c r="G58" s="187">
        <f>24/12</f>
        <v>2</v>
      </c>
      <c r="H58" s="187">
        <f>PRODUCT(D58:G58)</f>
        <v>168</v>
      </c>
      <c r="I58" s="187" t="s">
        <v>222</v>
      </c>
      <c r="J58" s="187"/>
      <c r="K58" s="187"/>
      <c r="L58" s="187"/>
      <c r="M58" s="187"/>
      <c r="N58" s="187"/>
      <c r="P58" s="192">
        <v>0.33333333333333331</v>
      </c>
      <c r="Q58" s="191">
        <f>1.5*1.5</f>
        <v>2.25</v>
      </c>
      <c r="R58" s="191">
        <f>1.17*1.17</f>
        <v>1.3688999999999998</v>
      </c>
      <c r="S58" s="191">
        <f>Q58*R58</f>
        <v>3.0800249999999996</v>
      </c>
      <c r="T58" s="191">
        <f>+SQRT(S58)</f>
        <v>1.7549999999999999</v>
      </c>
      <c r="U58" s="191">
        <v>1</v>
      </c>
      <c r="V58" s="191">
        <f>T58*U58</f>
        <v>1.7549999999999999</v>
      </c>
    </row>
    <row r="59" spans="1:22" s="184" customFormat="1" x14ac:dyDescent="0.25">
      <c r="A59" s="185"/>
      <c r="B59" s="186"/>
      <c r="C59" s="187"/>
      <c r="D59" s="188">
        <v>2</v>
      </c>
      <c r="E59" s="187">
        <v>1.5</v>
      </c>
      <c r="F59" s="187">
        <v>1</v>
      </c>
      <c r="G59" s="187">
        <f>20/12</f>
        <v>1.6666666666666667</v>
      </c>
      <c r="H59" s="187">
        <f>V58*D59</f>
        <v>3.51</v>
      </c>
      <c r="I59" s="187" t="s">
        <v>222</v>
      </c>
      <c r="J59" s="187"/>
      <c r="K59" s="187"/>
      <c r="L59" s="187"/>
      <c r="M59" s="187"/>
      <c r="N59" s="187"/>
    </row>
    <row r="60" spans="1:22" s="184" customFormat="1" x14ac:dyDescent="0.25">
      <c r="A60" s="185"/>
      <c r="B60" s="186"/>
      <c r="C60" s="187"/>
      <c r="D60" s="188"/>
      <c r="E60" s="187"/>
      <c r="F60" s="187"/>
      <c r="G60" s="187"/>
      <c r="H60" s="187"/>
      <c r="I60" s="187"/>
      <c r="J60" s="187"/>
      <c r="K60" s="187"/>
      <c r="L60" s="187"/>
      <c r="M60" s="187"/>
      <c r="N60" s="187"/>
    </row>
    <row r="61" spans="1:22" s="184" customFormat="1" x14ac:dyDescent="0.25">
      <c r="A61" s="185"/>
      <c r="B61" s="186"/>
      <c r="C61" s="187"/>
      <c r="D61" s="188"/>
      <c r="E61" s="187"/>
      <c r="F61" s="187"/>
      <c r="G61" s="187"/>
      <c r="H61" s="187"/>
      <c r="I61" s="187"/>
      <c r="J61" s="187"/>
      <c r="K61" s="187"/>
      <c r="L61" s="187"/>
      <c r="M61" s="187"/>
      <c r="N61" s="187"/>
    </row>
    <row r="62" spans="1:22" s="184" customFormat="1" x14ac:dyDescent="0.25">
      <c r="A62" s="185"/>
      <c r="B62" s="186"/>
      <c r="C62" s="187"/>
      <c r="D62" s="188"/>
      <c r="E62" s="187"/>
      <c r="F62" s="187"/>
      <c r="G62" s="187"/>
      <c r="H62" s="187"/>
      <c r="I62" s="187"/>
      <c r="J62" s="187"/>
      <c r="K62" s="187"/>
      <c r="L62" s="187"/>
      <c r="M62" s="187"/>
      <c r="N62" s="187"/>
    </row>
    <row r="63" spans="1:22" x14ac:dyDescent="0.25">
      <c r="B63" t="s">
        <v>237</v>
      </c>
    </row>
    <row r="64" spans="1:22" x14ac:dyDescent="0.25">
      <c r="B64" t="s">
        <v>238</v>
      </c>
      <c r="D64">
        <v>4</v>
      </c>
    </row>
    <row r="65" spans="2:12" x14ac:dyDescent="0.25">
      <c r="B65" t="s">
        <v>239</v>
      </c>
      <c r="D65">
        <v>5</v>
      </c>
      <c r="K65" t="s">
        <v>242</v>
      </c>
      <c r="L65" t="s">
        <v>241</v>
      </c>
    </row>
    <row r="66" spans="2:12" x14ac:dyDescent="0.25">
      <c r="B66" t="s">
        <v>240</v>
      </c>
      <c r="D66">
        <v>2</v>
      </c>
      <c r="K66" t="s">
        <v>242</v>
      </c>
      <c r="L66" t="s">
        <v>241</v>
      </c>
    </row>
    <row r="69" spans="2:12" x14ac:dyDescent="0.25">
      <c r="B69" t="s">
        <v>401</v>
      </c>
    </row>
    <row r="70" spans="2:12" x14ac:dyDescent="0.25">
      <c r="B70" t="s">
        <v>402</v>
      </c>
    </row>
    <row r="71" spans="2:12" x14ac:dyDescent="0.25">
      <c r="B71" t="s">
        <v>402</v>
      </c>
    </row>
    <row r="73" spans="2:12" x14ac:dyDescent="0.25">
      <c r="B73" t="s">
        <v>403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E5A38-898A-4474-87D1-03CE2E882338}">
  <dimension ref="A1:AH999"/>
  <sheetViews>
    <sheetView zoomScale="55" zoomScaleNormal="55" workbookViewId="0">
      <selection activeCell="AA8" sqref="AA8:AA12"/>
    </sheetView>
  </sheetViews>
  <sheetFormatPr defaultRowHeight="15" x14ac:dyDescent="0.25"/>
  <cols>
    <col min="3" max="3" width="21.42578125" bestFit="1" customWidth="1"/>
  </cols>
  <sheetData>
    <row r="1" spans="1:34" x14ac:dyDescent="0.25">
      <c r="A1" s="521"/>
      <c r="B1" s="521"/>
      <c r="C1" s="193">
        <v>0.41399999999999998</v>
      </c>
      <c r="D1" s="194">
        <v>0.376</v>
      </c>
      <c r="E1" s="194">
        <v>3.7999999999999999E-2</v>
      </c>
      <c r="F1" s="193">
        <v>38</v>
      </c>
      <c r="G1" s="193"/>
      <c r="H1" s="193"/>
      <c r="I1" s="193"/>
      <c r="J1" s="193"/>
      <c r="K1" s="193"/>
      <c r="L1" s="193"/>
      <c r="M1" s="193"/>
      <c r="N1" s="521"/>
      <c r="O1" s="521"/>
      <c r="P1" s="521"/>
      <c r="Q1" s="521"/>
      <c r="R1" s="193"/>
      <c r="S1" s="193"/>
      <c r="T1" s="193"/>
      <c r="U1" s="193"/>
      <c r="V1" s="193"/>
      <c r="W1" s="193"/>
      <c r="X1" s="193"/>
      <c r="Y1" s="193"/>
      <c r="Z1" s="193"/>
      <c r="AA1" s="193"/>
      <c r="AB1" s="193"/>
      <c r="AC1" s="193"/>
      <c r="AD1" s="193"/>
      <c r="AE1" s="193"/>
      <c r="AF1" s="193"/>
      <c r="AG1" s="193"/>
      <c r="AH1" s="193"/>
    </row>
    <row r="2" spans="1:34" ht="15.75" thickBot="1" x14ac:dyDescent="0.3">
      <c r="A2" s="521"/>
      <c r="B2" s="521"/>
      <c r="C2" s="193"/>
      <c r="D2" s="194"/>
      <c r="E2" s="194"/>
      <c r="F2" s="193"/>
      <c r="G2" s="193"/>
      <c r="H2" s="193"/>
      <c r="I2" s="193"/>
      <c r="J2" s="193"/>
      <c r="K2" s="193"/>
      <c r="L2" s="193"/>
      <c r="M2" s="193"/>
      <c r="N2" s="522"/>
      <c r="O2" s="522"/>
      <c r="P2" s="522"/>
      <c r="Q2" s="522"/>
      <c r="R2" s="193"/>
      <c r="S2" s="193"/>
      <c r="T2" s="193"/>
      <c r="U2" s="193"/>
      <c r="V2" s="193"/>
      <c r="W2" s="193"/>
      <c r="X2" s="193"/>
      <c r="Y2" s="193"/>
      <c r="Z2" s="193"/>
      <c r="AA2" s="193"/>
      <c r="AB2" s="193"/>
      <c r="AC2" s="193"/>
      <c r="AD2" s="193"/>
      <c r="AE2" s="193"/>
      <c r="AF2" s="193"/>
      <c r="AG2" s="193"/>
      <c r="AH2" s="193"/>
    </row>
    <row r="3" spans="1:34" ht="23.1" customHeight="1" x14ac:dyDescent="0.25">
      <c r="A3" s="195"/>
      <c r="B3" s="512" t="s">
        <v>243</v>
      </c>
      <c r="C3" s="512" t="s">
        <v>244</v>
      </c>
      <c r="D3" s="509" t="s">
        <v>245</v>
      </c>
      <c r="E3" s="509" t="s">
        <v>246</v>
      </c>
      <c r="F3" s="515" t="s">
        <v>247</v>
      </c>
      <c r="G3" s="515" t="s">
        <v>285</v>
      </c>
      <c r="H3" s="518" t="s">
        <v>248</v>
      </c>
      <c r="I3" s="527" t="s">
        <v>249</v>
      </c>
      <c r="J3" s="509" t="s">
        <v>250</v>
      </c>
      <c r="K3" s="524" t="s">
        <v>251</v>
      </c>
      <c r="L3" s="525"/>
      <c r="M3" s="525"/>
      <c r="N3" s="525"/>
      <c r="O3" s="525"/>
      <c r="P3" s="525"/>
      <c r="Q3" s="526"/>
      <c r="R3" s="503" t="s">
        <v>252</v>
      </c>
      <c r="S3" s="504"/>
      <c r="T3" s="504"/>
      <c r="U3" s="505"/>
      <c r="V3" s="509" t="s">
        <v>253</v>
      </c>
      <c r="W3" s="509" t="s">
        <v>254</v>
      </c>
      <c r="X3" s="509" t="s">
        <v>255</v>
      </c>
      <c r="Y3" s="524" t="s">
        <v>256</v>
      </c>
      <c r="Z3" s="525"/>
      <c r="AA3" s="525"/>
      <c r="AB3" s="525"/>
      <c r="AC3" s="525"/>
      <c r="AD3" s="525"/>
      <c r="AE3" s="525"/>
      <c r="AF3" s="526"/>
      <c r="AG3" s="512" t="s">
        <v>6</v>
      </c>
      <c r="AH3" s="195"/>
    </row>
    <row r="4" spans="1:34" x14ac:dyDescent="0.25">
      <c r="A4" s="195"/>
      <c r="B4" s="513"/>
      <c r="C4" s="513"/>
      <c r="D4" s="510"/>
      <c r="E4" s="510"/>
      <c r="F4" s="516"/>
      <c r="G4" s="516"/>
      <c r="H4" s="519"/>
      <c r="I4" s="528"/>
      <c r="J4" s="510"/>
      <c r="K4" s="512" t="s">
        <v>218</v>
      </c>
      <c r="L4" s="512" t="s">
        <v>257</v>
      </c>
      <c r="M4" s="512" t="s">
        <v>258</v>
      </c>
      <c r="N4" s="512" t="s">
        <v>259</v>
      </c>
      <c r="O4" s="512" t="s">
        <v>260</v>
      </c>
      <c r="P4" s="512" t="s">
        <v>261</v>
      </c>
      <c r="Q4" s="512" t="s">
        <v>262</v>
      </c>
      <c r="R4" s="506"/>
      <c r="S4" s="507"/>
      <c r="T4" s="507"/>
      <c r="U4" s="508"/>
      <c r="V4" s="510"/>
      <c r="W4" s="510"/>
      <c r="X4" s="510"/>
      <c r="Y4" s="199">
        <v>3</v>
      </c>
      <c r="Z4" s="199">
        <v>4</v>
      </c>
      <c r="AA4" s="199">
        <v>5</v>
      </c>
      <c r="AB4" s="199">
        <v>6</v>
      </c>
      <c r="AC4" s="199">
        <v>7</v>
      </c>
      <c r="AD4" s="199">
        <v>8</v>
      </c>
      <c r="AE4" s="199">
        <v>9</v>
      </c>
      <c r="AF4" s="199">
        <v>10</v>
      </c>
      <c r="AG4" s="513"/>
      <c r="AH4" s="195"/>
    </row>
    <row r="5" spans="1:34" x14ac:dyDescent="0.25">
      <c r="A5" s="195"/>
      <c r="B5" s="514"/>
      <c r="C5" s="514"/>
      <c r="D5" s="511"/>
      <c r="E5" s="510"/>
      <c r="F5" s="517"/>
      <c r="G5" s="517"/>
      <c r="H5" s="520"/>
      <c r="I5" s="529"/>
      <c r="J5" s="511"/>
      <c r="K5" s="514"/>
      <c r="L5" s="514"/>
      <c r="M5" s="514"/>
      <c r="N5" s="514"/>
      <c r="O5" s="514"/>
      <c r="P5" s="514"/>
      <c r="Q5" s="514"/>
      <c r="R5" s="506"/>
      <c r="S5" s="507"/>
      <c r="T5" s="507"/>
      <c r="U5" s="508"/>
      <c r="V5" s="510"/>
      <c r="W5" s="511"/>
      <c r="X5" s="511"/>
      <c r="Y5" s="199">
        <v>0.376</v>
      </c>
      <c r="Z5" s="199">
        <v>0.66800000000000004</v>
      </c>
      <c r="AA5" s="199">
        <v>1.0429999999999999</v>
      </c>
      <c r="AB5" s="199">
        <v>1.502</v>
      </c>
      <c r="AC5" s="199">
        <v>2.044</v>
      </c>
      <c r="AD5" s="199">
        <v>2.67</v>
      </c>
      <c r="AE5" s="199">
        <v>3.4</v>
      </c>
      <c r="AF5" s="199">
        <v>4.3029999999999999</v>
      </c>
      <c r="AG5" s="514"/>
      <c r="AH5" s="195"/>
    </row>
    <row r="6" spans="1:34" ht="15.75" thickBot="1" x14ac:dyDescent="0.3">
      <c r="A6" s="195"/>
      <c r="B6" s="200" t="s">
        <v>232</v>
      </c>
      <c r="C6" s="199" t="s">
        <v>264</v>
      </c>
      <c r="D6" s="197">
        <v>60</v>
      </c>
      <c r="E6" s="201">
        <v>8</v>
      </c>
      <c r="F6" s="202">
        <v>728</v>
      </c>
      <c r="G6" s="202">
        <f>21.67*12</f>
        <v>260.04000000000002</v>
      </c>
      <c r="H6" s="202">
        <v>20</v>
      </c>
      <c r="I6" s="202">
        <v>12</v>
      </c>
      <c r="J6" s="202">
        <v>12</v>
      </c>
      <c r="K6" s="199"/>
      <c r="L6" s="199"/>
      <c r="M6" s="199"/>
      <c r="N6" s="199"/>
      <c r="O6" s="199"/>
      <c r="P6" s="199"/>
      <c r="Q6" s="198"/>
      <c r="R6" s="196"/>
      <c r="S6" s="196"/>
      <c r="T6" s="196"/>
      <c r="U6" s="196"/>
      <c r="V6" s="203"/>
      <c r="W6" s="202"/>
      <c r="X6" s="202"/>
      <c r="Y6" s="199"/>
      <c r="Z6" s="199"/>
      <c r="AA6" s="199"/>
      <c r="AB6" s="199"/>
      <c r="AC6" s="199"/>
      <c r="AD6" s="199"/>
      <c r="AE6" s="199"/>
      <c r="AF6" s="199"/>
      <c r="AG6" s="199"/>
      <c r="AH6" s="195"/>
    </row>
    <row r="7" spans="1:34" ht="15.75" thickBot="1" x14ac:dyDescent="0.3">
      <c r="A7" s="193"/>
      <c r="B7" s="204"/>
      <c r="C7" s="205"/>
      <c r="D7" s="194"/>
      <c r="E7" s="206"/>
      <c r="F7" s="205"/>
      <c r="G7" s="205"/>
      <c r="H7" s="207">
        <v>3</v>
      </c>
      <c r="I7" s="207">
        <v>2</v>
      </c>
      <c r="J7" s="205"/>
      <c r="K7" s="205"/>
      <c r="L7" s="205"/>
      <c r="M7" s="205"/>
      <c r="N7" s="205"/>
      <c r="O7" s="205"/>
      <c r="P7" s="205"/>
      <c r="Q7" s="208"/>
      <c r="R7" s="209"/>
      <c r="S7" s="210"/>
      <c r="T7" s="210"/>
      <c r="U7" s="211"/>
      <c r="V7" s="212"/>
      <c r="W7" s="204"/>
      <c r="X7" s="204"/>
      <c r="Y7" s="205"/>
      <c r="Z7" s="205"/>
      <c r="AA7" s="205"/>
      <c r="AB7" s="205"/>
      <c r="AC7" s="205"/>
      <c r="AD7" s="205"/>
      <c r="AE7" s="205"/>
      <c r="AF7" s="205"/>
      <c r="AG7" s="205"/>
      <c r="AH7" s="193"/>
    </row>
    <row r="8" spans="1:34" x14ac:dyDescent="0.25">
      <c r="A8" s="193"/>
      <c r="B8" s="490"/>
      <c r="C8" s="499" t="s">
        <v>265</v>
      </c>
      <c r="D8" s="490">
        <v>5</v>
      </c>
      <c r="E8" s="490">
        <v>0.625</v>
      </c>
      <c r="F8" s="490"/>
      <c r="G8" s="490">
        <f>21.67*12</f>
        <v>260.04000000000002</v>
      </c>
      <c r="H8" s="490"/>
      <c r="I8" s="490">
        <v>2</v>
      </c>
      <c r="J8" s="490">
        <v>1</v>
      </c>
      <c r="K8" s="490"/>
      <c r="L8" s="490">
        <f>G6-2-2</f>
        <v>256.04000000000002</v>
      </c>
      <c r="M8" s="490"/>
      <c r="N8" s="490"/>
      <c r="O8" s="490"/>
      <c r="P8" s="490"/>
      <c r="Q8" s="490"/>
      <c r="R8" s="213"/>
      <c r="S8" s="502"/>
      <c r="T8" s="502"/>
      <c r="U8" s="214"/>
      <c r="V8" s="490">
        <f>SUM(R8:U12)</f>
        <v>21.33666666666667</v>
      </c>
      <c r="W8" s="490">
        <f>+SUM(K8:Q12)</f>
        <v>256.04000000000002</v>
      </c>
      <c r="X8" s="490">
        <f>(+I8*J8*W8)/12</f>
        <v>42.673333333333339</v>
      </c>
      <c r="Y8" s="490">
        <f>IF(Y$4=$D8,$X8*Y$5,0)</f>
        <v>0</v>
      </c>
      <c r="Z8" s="490">
        <f t="shared" ref="Z8:AF8" si="0">IF(Z$4=$D8,$X8*Z$5,0)</f>
        <v>0</v>
      </c>
      <c r="AA8" s="490">
        <f>IF(AA$4=$D8,$X8*AA$5,0)</f>
        <v>44.50828666666667</v>
      </c>
      <c r="AB8" s="490">
        <f t="shared" si="0"/>
        <v>0</v>
      </c>
      <c r="AC8" s="490">
        <f t="shared" si="0"/>
        <v>0</v>
      </c>
      <c r="AD8" s="490">
        <f t="shared" si="0"/>
        <v>0</v>
      </c>
      <c r="AE8" s="490">
        <f t="shared" si="0"/>
        <v>0</v>
      </c>
      <c r="AF8" s="490">
        <f t="shared" si="0"/>
        <v>0</v>
      </c>
      <c r="AG8" s="490"/>
      <c r="AH8" s="193"/>
    </row>
    <row r="9" spans="1:34" x14ac:dyDescent="0.25">
      <c r="A9" s="193"/>
      <c r="B9" s="491"/>
      <c r="C9" s="500"/>
      <c r="D9" s="491"/>
      <c r="E9" s="491"/>
      <c r="F9" s="491"/>
      <c r="G9" s="491"/>
      <c r="H9" s="491"/>
      <c r="I9" s="491"/>
      <c r="J9" s="491"/>
      <c r="K9" s="491"/>
      <c r="L9" s="491"/>
      <c r="M9" s="491"/>
      <c r="N9" s="491"/>
      <c r="O9" s="491"/>
      <c r="P9" s="491"/>
      <c r="Q9" s="491"/>
      <c r="R9" s="213"/>
      <c r="S9" s="215"/>
      <c r="T9" s="216"/>
      <c r="U9" s="214"/>
      <c r="V9" s="491"/>
      <c r="W9" s="491"/>
      <c r="X9" s="491"/>
      <c r="Y9" s="491"/>
      <c r="Z9" s="491"/>
      <c r="AA9" s="491"/>
      <c r="AB9" s="491"/>
      <c r="AC9" s="491"/>
      <c r="AD9" s="491"/>
      <c r="AE9" s="491"/>
      <c r="AF9" s="491"/>
      <c r="AG9" s="491"/>
      <c r="AH9" s="193"/>
    </row>
    <row r="10" spans="1:34" x14ac:dyDescent="0.25">
      <c r="A10" s="193"/>
      <c r="B10" s="491"/>
      <c r="C10" s="500"/>
      <c r="D10" s="491"/>
      <c r="E10" s="491"/>
      <c r="F10" s="491"/>
      <c r="G10" s="491"/>
      <c r="H10" s="491"/>
      <c r="I10" s="491"/>
      <c r="J10" s="491"/>
      <c r="K10" s="491"/>
      <c r="L10" s="491"/>
      <c r="M10" s="491"/>
      <c r="N10" s="491"/>
      <c r="O10" s="491"/>
      <c r="P10" s="491"/>
      <c r="Q10" s="491"/>
      <c r="R10" s="217"/>
      <c r="S10" s="218"/>
      <c r="T10" s="218"/>
      <c r="U10" s="219"/>
      <c r="V10" s="491"/>
      <c r="W10" s="491"/>
      <c r="X10" s="491"/>
      <c r="Y10" s="491"/>
      <c r="Z10" s="491"/>
      <c r="AA10" s="491"/>
      <c r="AB10" s="491"/>
      <c r="AC10" s="491"/>
      <c r="AD10" s="491"/>
      <c r="AE10" s="491"/>
      <c r="AF10" s="491"/>
      <c r="AG10" s="491"/>
      <c r="AH10" s="193"/>
    </row>
    <row r="11" spans="1:34" ht="15.75" thickBot="1" x14ac:dyDescent="0.3">
      <c r="A11" s="193"/>
      <c r="B11" s="491"/>
      <c r="C11" s="500"/>
      <c r="D11" s="491"/>
      <c r="E11" s="491"/>
      <c r="F11" s="491"/>
      <c r="G11" s="491"/>
      <c r="H11" s="491"/>
      <c r="I11" s="491"/>
      <c r="J11" s="491"/>
      <c r="K11" s="491"/>
      <c r="L11" s="491"/>
      <c r="M11" s="491"/>
      <c r="N11" s="491"/>
      <c r="O11" s="491"/>
      <c r="P11" s="491"/>
      <c r="Q11" s="491"/>
      <c r="R11" s="213"/>
      <c r="S11" s="220"/>
      <c r="T11" s="220"/>
      <c r="U11" s="214"/>
      <c r="V11" s="491"/>
      <c r="W11" s="491"/>
      <c r="X11" s="491"/>
      <c r="Y11" s="491"/>
      <c r="Z11" s="491"/>
      <c r="AA11" s="491"/>
      <c r="AB11" s="491"/>
      <c r="AC11" s="491"/>
      <c r="AD11" s="491"/>
      <c r="AE11" s="491"/>
      <c r="AF11" s="491"/>
      <c r="AG11" s="491"/>
      <c r="AH11" s="193"/>
    </row>
    <row r="12" spans="1:34" x14ac:dyDescent="0.25">
      <c r="A12" s="193"/>
      <c r="B12" s="492"/>
      <c r="C12" s="501"/>
      <c r="D12" s="492"/>
      <c r="E12" s="492"/>
      <c r="F12" s="492"/>
      <c r="G12" s="492"/>
      <c r="H12" s="492"/>
      <c r="I12" s="492"/>
      <c r="J12" s="492"/>
      <c r="K12" s="492"/>
      <c r="L12" s="492"/>
      <c r="M12" s="492"/>
      <c r="N12" s="492"/>
      <c r="O12" s="492"/>
      <c r="P12" s="492"/>
      <c r="Q12" s="492"/>
      <c r="R12" s="221"/>
      <c r="S12" s="493">
        <f>L8/12</f>
        <v>21.33666666666667</v>
      </c>
      <c r="T12" s="493"/>
      <c r="U12" s="222"/>
      <c r="V12" s="492"/>
      <c r="W12" s="492"/>
      <c r="X12" s="492"/>
      <c r="Y12" s="492"/>
      <c r="Z12" s="492"/>
      <c r="AA12" s="492"/>
      <c r="AB12" s="492"/>
      <c r="AC12" s="492"/>
      <c r="AD12" s="492"/>
      <c r="AE12" s="492"/>
      <c r="AF12" s="492"/>
      <c r="AG12" s="492"/>
      <c r="AH12" s="193"/>
    </row>
    <row r="13" spans="1:34" x14ac:dyDescent="0.25">
      <c r="A13" s="193"/>
      <c r="B13" s="490"/>
      <c r="C13" s="499" t="s">
        <v>271</v>
      </c>
      <c r="D13" s="490">
        <v>5</v>
      </c>
      <c r="E13" s="490">
        <v>0.625</v>
      </c>
      <c r="F13" s="490"/>
      <c r="G13" s="490"/>
      <c r="H13" s="490"/>
      <c r="I13" s="490">
        <v>2</v>
      </c>
      <c r="J13" s="490">
        <v>2</v>
      </c>
      <c r="K13" s="490">
        <v>30</v>
      </c>
      <c r="L13" s="490">
        <v>30</v>
      </c>
      <c r="M13" s="490"/>
      <c r="N13" s="490"/>
      <c r="O13" s="490"/>
      <c r="P13" s="490"/>
      <c r="Q13" s="490"/>
      <c r="R13" s="213"/>
      <c r="S13" s="498"/>
      <c r="T13" s="498"/>
      <c r="U13" s="214"/>
      <c r="V13" s="490">
        <f>SUM(R13:U17)</f>
        <v>5</v>
      </c>
      <c r="W13" s="490">
        <f>+SUM(K13:Q17)</f>
        <v>60</v>
      </c>
      <c r="X13" s="490">
        <f>(+I13*J13*W13)/12</f>
        <v>20</v>
      </c>
      <c r="Y13" s="490">
        <f t="shared" ref="Y13:AF13" si="1">IF(Y$4=$D13,$X13*Y$5,0)</f>
        <v>0</v>
      </c>
      <c r="Z13" s="490">
        <f t="shared" si="1"/>
        <v>0</v>
      </c>
      <c r="AA13" s="490">
        <f t="shared" si="1"/>
        <v>20.86</v>
      </c>
      <c r="AB13" s="490">
        <f t="shared" si="1"/>
        <v>0</v>
      </c>
      <c r="AC13" s="490">
        <f t="shared" si="1"/>
        <v>0</v>
      </c>
      <c r="AD13" s="490">
        <f t="shared" si="1"/>
        <v>0</v>
      </c>
      <c r="AE13" s="490">
        <f t="shared" si="1"/>
        <v>0</v>
      </c>
      <c r="AF13" s="490">
        <f t="shared" si="1"/>
        <v>0</v>
      </c>
      <c r="AG13" s="490"/>
      <c r="AH13" s="193"/>
    </row>
    <row r="14" spans="1:34" x14ac:dyDescent="0.25">
      <c r="A14" s="193"/>
      <c r="B14" s="491"/>
      <c r="C14" s="500"/>
      <c r="D14" s="491"/>
      <c r="E14" s="491"/>
      <c r="F14" s="491"/>
      <c r="G14" s="491"/>
      <c r="H14" s="491"/>
      <c r="I14" s="491"/>
      <c r="J14" s="491"/>
      <c r="K14" s="491"/>
      <c r="L14" s="491"/>
      <c r="M14" s="491"/>
      <c r="N14" s="491"/>
      <c r="O14" s="491"/>
      <c r="P14" s="491"/>
      <c r="Q14" s="491"/>
      <c r="R14" s="213"/>
      <c r="S14" s="215"/>
      <c r="T14" s="216"/>
      <c r="U14" s="214"/>
      <c r="V14" s="491"/>
      <c r="W14" s="491"/>
      <c r="X14" s="491"/>
      <c r="Y14" s="491"/>
      <c r="Z14" s="491"/>
      <c r="AA14" s="491"/>
      <c r="AB14" s="491"/>
      <c r="AC14" s="491"/>
      <c r="AD14" s="491"/>
      <c r="AE14" s="491"/>
      <c r="AF14" s="491"/>
      <c r="AG14" s="491"/>
      <c r="AH14" s="193"/>
    </row>
    <row r="15" spans="1:34" x14ac:dyDescent="0.25">
      <c r="A15" s="193"/>
      <c r="B15" s="491"/>
      <c r="C15" s="500"/>
      <c r="D15" s="491"/>
      <c r="E15" s="491"/>
      <c r="F15" s="491"/>
      <c r="G15" s="491"/>
      <c r="H15" s="491"/>
      <c r="I15" s="491"/>
      <c r="J15" s="491"/>
      <c r="K15" s="491"/>
      <c r="L15" s="491"/>
      <c r="M15" s="491"/>
      <c r="N15" s="491"/>
      <c r="O15" s="491"/>
      <c r="P15" s="491"/>
      <c r="Q15" s="491"/>
      <c r="R15" s="217">
        <f>K13/12</f>
        <v>2.5</v>
      </c>
      <c r="S15" s="223"/>
      <c r="T15" s="195"/>
      <c r="U15" s="219"/>
      <c r="V15" s="491"/>
      <c r="W15" s="491"/>
      <c r="X15" s="491"/>
      <c r="Y15" s="491"/>
      <c r="Z15" s="491"/>
      <c r="AA15" s="491"/>
      <c r="AB15" s="491"/>
      <c r="AC15" s="491"/>
      <c r="AD15" s="491"/>
      <c r="AE15" s="491"/>
      <c r="AF15" s="491"/>
      <c r="AG15" s="491"/>
      <c r="AH15" s="193"/>
    </row>
    <row r="16" spans="1:34" ht="15.75" thickBot="1" x14ac:dyDescent="0.3">
      <c r="A16" s="193"/>
      <c r="B16" s="491"/>
      <c r="C16" s="500"/>
      <c r="D16" s="491"/>
      <c r="E16" s="491"/>
      <c r="F16" s="491"/>
      <c r="G16" s="491"/>
      <c r="H16" s="491"/>
      <c r="I16" s="491"/>
      <c r="J16" s="491"/>
      <c r="K16" s="491"/>
      <c r="L16" s="491"/>
      <c r="M16" s="491"/>
      <c r="N16" s="491"/>
      <c r="O16" s="491"/>
      <c r="P16" s="491"/>
      <c r="Q16" s="491"/>
      <c r="R16" s="213"/>
      <c r="S16" s="224"/>
      <c r="T16" s="220"/>
      <c r="U16" s="214"/>
      <c r="V16" s="491"/>
      <c r="W16" s="491"/>
      <c r="X16" s="491"/>
      <c r="Y16" s="491"/>
      <c r="Z16" s="491"/>
      <c r="AA16" s="491"/>
      <c r="AB16" s="491"/>
      <c r="AC16" s="491"/>
      <c r="AD16" s="491"/>
      <c r="AE16" s="491"/>
      <c r="AF16" s="491"/>
      <c r="AG16" s="491"/>
      <c r="AH16" s="193"/>
    </row>
    <row r="17" spans="1:34" x14ac:dyDescent="0.25">
      <c r="A17" s="193"/>
      <c r="B17" s="492"/>
      <c r="C17" s="501"/>
      <c r="D17" s="492"/>
      <c r="E17" s="492"/>
      <c r="F17" s="492"/>
      <c r="G17" s="492"/>
      <c r="H17" s="492"/>
      <c r="I17" s="492"/>
      <c r="J17" s="492"/>
      <c r="K17" s="492"/>
      <c r="L17" s="492"/>
      <c r="M17" s="492"/>
      <c r="N17" s="492"/>
      <c r="O17" s="492"/>
      <c r="P17" s="492"/>
      <c r="Q17" s="492"/>
      <c r="R17" s="221"/>
      <c r="S17" s="493">
        <f>L13/12</f>
        <v>2.5</v>
      </c>
      <c r="T17" s="493"/>
      <c r="U17" s="222"/>
      <c r="V17" s="492"/>
      <c r="W17" s="492"/>
      <c r="X17" s="492"/>
      <c r="Y17" s="492"/>
      <c r="Z17" s="492"/>
      <c r="AA17" s="492"/>
      <c r="AB17" s="492"/>
      <c r="AC17" s="492"/>
      <c r="AD17" s="492"/>
      <c r="AE17" s="492"/>
      <c r="AF17" s="492"/>
      <c r="AG17" s="492"/>
      <c r="AH17" s="193"/>
    </row>
    <row r="18" spans="1:34" x14ac:dyDescent="0.25">
      <c r="A18" s="193"/>
      <c r="B18" s="490"/>
      <c r="C18" s="490" t="s">
        <v>277</v>
      </c>
      <c r="D18" s="490">
        <v>5</v>
      </c>
      <c r="E18" s="490">
        <v>0.625</v>
      </c>
      <c r="F18" s="494">
        <v>16</v>
      </c>
      <c r="G18" s="229"/>
      <c r="H18" s="490"/>
      <c r="I18" s="490">
        <f>ROUNDUP(G8/F18,0)</f>
        <v>17</v>
      </c>
      <c r="J18" s="490">
        <v>1</v>
      </c>
      <c r="K18" s="490">
        <v>6</v>
      </c>
      <c r="L18" s="490">
        <f>4*12-2</f>
        <v>46</v>
      </c>
      <c r="M18" s="490">
        <f>11*12</f>
        <v>132</v>
      </c>
      <c r="N18" s="490"/>
      <c r="O18" s="490"/>
      <c r="P18" s="490"/>
      <c r="Q18" s="490"/>
      <c r="R18" s="213"/>
      <c r="S18" s="498"/>
      <c r="T18" s="498"/>
      <c r="U18" s="214"/>
      <c r="V18" s="490">
        <f>SUM(R18:U22)</f>
        <v>15.333333333333334</v>
      </c>
      <c r="W18" s="490">
        <f>+SUM(K18:Q22)</f>
        <v>184</v>
      </c>
      <c r="X18" s="490">
        <f>(+I18*J18*W18)/12</f>
        <v>260.66666666666669</v>
      </c>
      <c r="Y18" s="490">
        <f t="shared" ref="Y18:AF18" si="2">IF(Y$4=$D18,$X18*Y$5,0)</f>
        <v>0</v>
      </c>
      <c r="Z18" s="490">
        <f t="shared" si="2"/>
        <v>0</v>
      </c>
      <c r="AA18" s="490">
        <f t="shared" si="2"/>
        <v>271.87533333333334</v>
      </c>
      <c r="AB18" s="490">
        <f t="shared" si="2"/>
        <v>0</v>
      </c>
      <c r="AC18" s="490">
        <f t="shared" si="2"/>
        <v>0</v>
      </c>
      <c r="AD18" s="490">
        <f t="shared" si="2"/>
        <v>0</v>
      </c>
      <c r="AE18" s="490">
        <f t="shared" si="2"/>
        <v>0</v>
      </c>
      <c r="AF18" s="490">
        <f t="shared" si="2"/>
        <v>0</v>
      </c>
      <c r="AG18" s="490"/>
      <c r="AH18" s="193"/>
    </row>
    <row r="19" spans="1:34" x14ac:dyDescent="0.25">
      <c r="A19" s="193"/>
      <c r="B19" s="491"/>
      <c r="C19" s="491"/>
      <c r="D19" s="491"/>
      <c r="E19" s="491"/>
      <c r="F19" s="495"/>
      <c r="G19" s="230"/>
      <c r="H19" s="491"/>
      <c r="I19" s="491"/>
      <c r="J19" s="491"/>
      <c r="K19" s="491"/>
      <c r="L19" s="491"/>
      <c r="M19" s="491"/>
      <c r="N19" s="491"/>
      <c r="O19" s="491"/>
      <c r="P19" s="491"/>
      <c r="Q19" s="491"/>
      <c r="R19" s="213"/>
      <c r="S19" s="215"/>
      <c r="T19" s="216"/>
      <c r="U19" s="214"/>
      <c r="V19" s="491"/>
      <c r="W19" s="491"/>
      <c r="X19" s="491"/>
      <c r="Y19" s="491"/>
      <c r="Z19" s="491"/>
      <c r="AA19" s="491"/>
      <c r="AB19" s="491"/>
      <c r="AC19" s="491"/>
      <c r="AD19" s="491"/>
      <c r="AE19" s="491"/>
      <c r="AF19" s="491"/>
      <c r="AG19" s="491"/>
      <c r="AH19" s="193"/>
    </row>
    <row r="20" spans="1:34" x14ac:dyDescent="0.25">
      <c r="A20" s="193"/>
      <c r="B20" s="491"/>
      <c r="C20" s="491"/>
      <c r="D20" s="491"/>
      <c r="E20" s="491"/>
      <c r="F20" s="495"/>
      <c r="G20" s="230"/>
      <c r="H20" s="491"/>
      <c r="I20" s="491"/>
      <c r="J20" s="491"/>
      <c r="K20" s="491"/>
      <c r="L20" s="491"/>
      <c r="M20" s="491"/>
      <c r="N20" s="491"/>
      <c r="O20" s="491"/>
      <c r="P20" s="491"/>
      <c r="Q20" s="491"/>
      <c r="R20" s="225">
        <f>K18/12</f>
        <v>0.5</v>
      </c>
      <c r="S20" s="218"/>
      <c r="T20" s="218"/>
      <c r="U20" s="219"/>
      <c r="V20" s="491"/>
      <c r="W20" s="491"/>
      <c r="X20" s="491"/>
      <c r="Y20" s="491"/>
      <c r="Z20" s="491"/>
      <c r="AA20" s="491"/>
      <c r="AB20" s="491"/>
      <c r="AC20" s="491"/>
      <c r="AD20" s="491"/>
      <c r="AE20" s="491"/>
      <c r="AF20" s="491"/>
      <c r="AG20" s="491"/>
      <c r="AH20" s="193"/>
    </row>
    <row r="21" spans="1:34" ht="15.75" thickBot="1" x14ac:dyDescent="0.3">
      <c r="A21" s="193"/>
      <c r="B21" s="491"/>
      <c r="C21" s="491"/>
      <c r="D21" s="491"/>
      <c r="E21" s="491"/>
      <c r="F21" s="495"/>
      <c r="G21" s="230"/>
      <c r="H21" s="491"/>
      <c r="I21" s="491"/>
      <c r="J21" s="491"/>
      <c r="K21" s="491"/>
      <c r="L21" s="491"/>
      <c r="M21" s="491"/>
      <c r="N21" s="491"/>
      <c r="O21" s="491"/>
      <c r="P21" s="491"/>
      <c r="Q21" s="491"/>
      <c r="R21" s="226"/>
      <c r="S21" s="220"/>
      <c r="T21" s="220"/>
      <c r="U21" s="214"/>
      <c r="V21" s="491"/>
      <c r="W21" s="491"/>
      <c r="X21" s="491"/>
      <c r="Y21" s="491"/>
      <c r="Z21" s="491"/>
      <c r="AA21" s="491"/>
      <c r="AB21" s="491"/>
      <c r="AC21" s="491"/>
      <c r="AD21" s="491"/>
      <c r="AE21" s="491"/>
      <c r="AF21" s="491"/>
      <c r="AG21" s="491"/>
      <c r="AH21" s="193"/>
    </row>
    <row r="22" spans="1:34" x14ac:dyDescent="0.25">
      <c r="A22" s="193"/>
      <c r="B22" s="492"/>
      <c r="C22" s="492"/>
      <c r="D22" s="491"/>
      <c r="E22" s="491"/>
      <c r="F22" s="496"/>
      <c r="G22" s="231"/>
      <c r="H22" s="492"/>
      <c r="I22" s="492"/>
      <c r="J22" s="492"/>
      <c r="K22" s="492"/>
      <c r="L22" s="492"/>
      <c r="M22" s="492"/>
      <c r="N22" s="492"/>
      <c r="O22" s="492"/>
      <c r="P22" s="492"/>
      <c r="Q22" s="492"/>
      <c r="R22" s="221"/>
      <c r="S22" s="493">
        <f>+SUM(L18:M22)/12</f>
        <v>14.833333333333334</v>
      </c>
      <c r="T22" s="493"/>
      <c r="U22" s="222"/>
      <c r="V22" s="492"/>
      <c r="W22" s="492"/>
      <c r="X22" s="492"/>
      <c r="Y22" s="492"/>
      <c r="Z22" s="492"/>
      <c r="AA22" s="492"/>
      <c r="AB22" s="492"/>
      <c r="AC22" s="492"/>
      <c r="AD22" s="492"/>
      <c r="AE22" s="492"/>
      <c r="AF22" s="492"/>
      <c r="AG22" s="492"/>
      <c r="AH22" s="193"/>
    </row>
    <row r="23" spans="1:34" x14ac:dyDescent="0.25">
      <c r="A23" s="193"/>
      <c r="B23" s="490"/>
      <c r="C23" s="490" t="s">
        <v>286</v>
      </c>
      <c r="D23" s="490">
        <v>5</v>
      </c>
      <c r="E23" s="490">
        <v>0.625</v>
      </c>
      <c r="F23" s="494">
        <v>16</v>
      </c>
      <c r="G23" s="229"/>
      <c r="H23" s="490"/>
      <c r="I23" s="490">
        <f>ROUNDUP(M18/16,0)</f>
        <v>9</v>
      </c>
      <c r="J23" s="490">
        <v>1</v>
      </c>
      <c r="K23" s="490"/>
      <c r="L23" s="490">
        <f>G6-2-2</f>
        <v>256.04000000000002</v>
      </c>
      <c r="M23" s="490"/>
      <c r="N23" s="490"/>
      <c r="O23" s="490"/>
      <c r="P23" s="490"/>
      <c r="Q23" s="490"/>
      <c r="R23" s="213"/>
      <c r="S23" s="498"/>
      <c r="T23" s="498"/>
      <c r="U23" s="214"/>
      <c r="V23" s="490">
        <f>SUM(R23:U27)</f>
        <v>21.33666666666667</v>
      </c>
      <c r="W23" s="490">
        <f>+SUM(K23:Q27)</f>
        <v>256.04000000000002</v>
      </c>
      <c r="X23" s="490">
        <f>(+I23*J23*W23)/12</f>
        <v>192.03</v>
      </c>
      <c r="Y23" s="490">
        <f t="shared" ref="Y23:AF23" si="3">IF(Y$4=$D23,$X23*Y$5,0)</f>
        <v>0</v>
      </c>
      <c r="Z23" s="490">
        <f t="shared" si="3"/>
        <v>0</v>
      </c>
      <c r="AA23" s="490">
        <f t="shared" si="3"/>
        <v>200.28728999999998</v>
      </c>
      <c r="AB23" s="490">
        <f t="shared" si="3"/>
        <v>0</v>
      </c>
      <c r="AC23" s="490">
        <f t="shared" si="3"/>
        <v>0</v>
      </c>
      <c r="AD23" s="490">
        <f t="shared" si="3"/>
        <v>0</v>
      </c>
      <c r="AE23" s="490">
        <f t="shared" si="3"/>
        <v>0</v>
      </c>
      <c r="AF23" s="490">
        <f t="shared" si="3"/>
        <v>0</v>
      </c>
      <c r="AG23" s="490"/>
      <c r="AH23" s="193"/>
    </row>
    <row r="24" spans="1:34" x14ac:dyDescent="0.25">
      <c r="A24" s="193"/>
      <c r="B24" s="491"/>
      <c r="C24" s="491"/>
      <c r="D24" s="491"/>
      <c r="E24" s="491"/>
      <c r="F24" s="495"/>
      <c r="G24" s="230"/>
      <c r="H24" s="491"/>
      <c r="I24" s="491"/>
      <c r="J24" s="491"/>
      <c r="K24" s="491"/>
      <c r="L24" s="491"/>
      <c r="M24" s="491"/>
      <c r="N24" s="491"/>
      <c r="O24" s="491"/>
      <c r="P24" s="491"/>
      <c r="Q24" s="491"/>
      <c r="R24" s="213"/>
      <c r="S24" s="215"/>
      <c r="T24" s="216"/>
      <c r="U24" s="214"/>
      <c r="V24" s="491"/>
      <c r="W24" s="491"/>
      <c r="X24" s="491"/>
      <c r="Y24" s="491"/>
      <c r="Z24" s="491"/>
      <c r="AA24" s="491"/>
      <c r="AB24" s="491"/>
      <c r="AC24" s="491"/>
      <c r="AD24" s="491"/>
      <c r="AE24" s="491"/>
      <c r="AF24" s="491"/>
      <c r="AG24" s="491"/>
      <c r="AH24" s="193"/>
    </row>
    <row r="25" spans="1:34" x14ac:dyDescent="0.25">
      <c r="A25" s="193"/>
      <c r="B25" s="491"/>
      <c r="C25" s="491"/>
      <c r="D25" s="491"/>
      <c r="E25" s="491"/>
      <c r="F25" s="495"/>
      <c r="G25" s="230"/>
      <c r="H25" s="491"/>
      <c r="I25" s="491"/>
      <c r="J25" s="491"/>
      <c r="K25" s="491"/>
      <c r="L25" s="491"/>
      <c r="M25" s="491"/>
      <c r="N25" s="491"/>
      <c r="O25" s="491"/>
      <c r="P25" s="491"/>
      <c r="Q25" s="497"/>
      <c r="R25" s="217"/>
      <c r="S25" s="218"/>
      <c r="T25" s="218"/>
      <c r="U25" s="219"/>
      <c r="V25" s="491"/>
      <c r="W25" s="491"/>
      <c r="X25" s="491"/>
      <c r="Y25" s="491"/>
      <c r="Z25" s="491"/>
      <c r="AA25" s="491"/>
      <c r="AB25" s="491"/>
      <c r="AC25" s="491"/>
      <c r="AD25" s="491"/>
      <c r="AE25" s="491"/>
      <c r="AF25" s="491"/>
      <c r="AG25" s="491"/>
      <c r="AH25" s="193"/>
    </row>
    <row r="26" spans="1:34" ht="15.75" thickBot="1" x14ac:dyDescent="0.3">
      <c r="A26" s="193"/>
      <c r="B26" s="491"/>
      <c r="C26" s="491"/>
      <c r="D26" s="491"/>
      <c r="E26" s="491"/>
      <c r="F26" s="495"/>
      <c r="G26" s="230"/>
      <c r="H26" s="491"/>
      <c r="I26" s="491"/>
      <c r="J26" s="491"/>
      <c r="K26" s="491"/>
      <c r="L26" s="491"/>
      <c r="M26" s="491"/>
      <c r="N26" s="491"/>
      <c r="O26" s="491"/>
      <c r="P26" s="491"/>
      <c r="Q26" s="497"/>
      <c r="R26" s="213"/>
      <c r="S26" s="220"/>
      <c r="T26" s="220"/>
      <c r="U26" s="214"/>
      <c r="V26" s="491"/>
      <c r="W26" s="491"/>
      <c r="X26" s="491"/>
      <c r="Y26" s="491"/>
      <c r="Z26" s="491"/>
      <c r="AA26" s="491"/>
      <c r="AB26" s="491"/>
      <c r="AC26" s="491"/>
      <c r="AD26" s="491"/>
      <c r="AE26" s="491"/>
      <c r="AF26" s="491"/>
      <c r="AG26" s="491"/>
      <c r="AH26" s="193"/>
    </row>
    <row r="27" spans="1:34" x14ac:dyDescent="0.25">
      <c r="A27" s="193"/>
      <c r="B27" s="492"/>
      <c r="C27" s="492"/>
      <c r="D27" s="491"/>
      <c r="E27" s="491"/>
      <c r="F27" s="496"/>
      <c r="G27" s="231"/>
      <c r="H27" s="492"/>
      <c r="I27" s="492"/>
      <c r="J27" s="492"/>
      <c r="K27" s="492"/>
      <c r="L27" s="492"/>
      <c r="M27" s="492"/>
      <c r="N27" s="492"/>
      <c r="O27" s="492"/>
      <c r="P27" s="492"/>
      <c r="Q27" s="492"/>
      <c r="R27" s="221"/>
      <c r="S27" s="493">
        <f>L23/12</f>
        <v>21.33666666666667</v>
      </c>
      <c r="T27" s="493"/>
      <c r="U27" s="222"/>
      <c r="V27" s="492"/>
      <c r="W27" s="492"/>
      <c r="X27" s="492"/>
      <c r="Y27" s="492"/>
      <c r="Z27" s="492"/>
      <c r="AA27" s="492"/>
      <c r="AB27" s="492"/>
      <c r="AC27" s="492"/>
      <c r="AD27" s="492"/>
      <c r="AE27" s="492"/>
      <c r="AF27" s="492"/>
      <c r="AG27" s="492"/>
      <c r="AH27" s="193"/>
    </row>
    <row r="28" spans="1:34" x14ac:dyDescent="0.25">
      <c r="A28" s="193"/>
      <c r="B28" s="228"/>
      <c r="C28" s="228"/>
      <c r="D28" s="195"/>
      <c r="E28" s="227"/>
      <c r="F28" s="231"/>
      <c r="G28" s="231"/>
      <c r="H28" s="228"/>
      <c r="I28" s="228"/>
      <c r="J28" s="228"/>
      <c r="K28" s="228"/>
      <c r="L28" s="228"/>
      <c r="M28" s="228"/>
      <c r="N28" s="228"/>
      <c r="O28" s="228"/>
      <c r="P28" s="228"/>
      <c r="Q28" s="221"/>
      <c r="R28" s="195"/>
      <c r="S28" s="232"/>
      <c r="T28" s="232"/>
      <c r="U28" s="233"/>
      <c r="V28" s="234"/>
      <c r="W28" s="228"/>
      <c r="X28" s="228"/>
      <c r="Y28" s="228"/>
      <c r="Z28" s="228"/>
      <c r="AA28" s="228"/>
      <c r="AB28" s="228"/>
      <c r="AC28" s="228"/>
      <c r="AD28" s="228"/>
      <c r="AE28" s="228"/>
      <c r="AF28" s="228"/>
      <c r="AG28" s="228"/>
      <c r="AH28" s="193"/>
    </row>
    <row r="29" spans="1:34" ht="15.75" thickBot="1" x14ac:dyDescent="0.3">
      <c r="A29" s="195"/>
      <c r="B29" s="200" t="s">
        <v>233</v>
      </c>
      <c r="C29" s="199" t="s">
        <v>264</v>
      </c>
      <c r="D29" s="197">
        <v>60</v>
      </c>
      <c r="E29" s="201">
        <v>8</v>
      </c>
      <c r="F29" s="202"/>
      <c r="G29" s="202">
        <f>60.67*12</f>
        <v>728.04</v>
      </c>
      <c r="H29" s="202">
        <v>20</v>
      </c>
      <c r="I29" s="202">
        <v>12</v>
      </c>
      <c r="J29" s="202">
        <v>12</v>
      </c>
      <c r="K29" s="199"/>
      <c r="L29" s="199"/>
      <c r="M29" s="199"/>
      <c r="N29" s="199"/>
      <c r="O29" s="199"/>
      <c r="P29" s="199"/>
      <c r="Q29" s="198"/>
      <c r="R29" s="196"/>
      <c r="S29" s="196"/>
      <c r="T29" s="196"/>
      <c r="U29" s="196"/>
      <c r="V29" s="203"/>
      <c r="W29" s="202"/>
      <c r="X29" s="202"/>
      <c r="Y29" s="199"/>
      <c r="Z29" s="199"/>
      <c r="AA29" s="199"/>
      <c r="AB29" s="199"/>
      <c r="AC29" s="199"/>
      <c r="AD29" s="199"/>
      <c r="AE29" s="199"/>
      <c r="AF29" s="199"/>
      <c r="AG29" s="199"/>
      <c r="AH29" s="195"/>
    </row>
    <row r="30" spans="1:34" ht="15.75" thickBot="1" x14ac:dyDescent="0.3">
      <c r="A30" s="193"/>
      <c r="B30" s="204"/>
      <c r="C30" s="205"/>
      <c r="D30" s="194"/>
      <c r="E30" s="206"/>
      <c r="F30" s="205"/>
      <c r="G30" s="205"/>
      <c r="H30" s="207">
        <v>3</v>
      </c>
      <c r="I30" s="207">
        <v>2</v>
      </c>
      <c r="J30" s="205"/>
      <c r="K30" s="205"/>
      <c r="L30" s="205"/>
      <c r="M30" s="205"/>
      <c r="N30" s="205"/>
      <c r="O30" s="205"/>
      <c r="P30" s="205"/>
      <c r="Q30" s="208"/>
      <c r="R30" s="209"/>
      <c r="S30" s="210"/>
      <c r="T30" s="210"/>
      <c r="U30" s="211"/>
      <c r="V30" s="212"/>
      <c r="W30" s="204"/>
      <c r="X30" s="204"/>
      <c r="Y30" s="205"/>
      <c r="Z30" s="205"/>
      <c r="AA30" s="205"/>
      <c r="AB30" s="205"/>
      <c r="AC30" s="205"/>
      <c r="AD30" s="205"/>
      <c r="AE30" s="205"/>
      <c r="AF30" s="205"/>
      <c r="AG30" s="205"/>
      <c r="AH30" s="193"/>
    </row>
    <row r="31" spans="1:34" x14ac:dyDescent="0.25">
      <c r="A31" s="193"/>
      <c r="B31" s="490"/>
      <c r="C31" s="499" t="s">
        <v>265</v>
      </c>
      <c r="D31" s="490">
        <v>5</v>
      </c>
      <c r="E31" s="490">
        <v>0.625</v>
      </c>
      <c r="F31" s="490"/>
      <c r="G31" s="490">
        <f>G29</f>
        <v>728.04</v>
      </c>
      <c r="H31" s="490"/>
      <c r="I31" s="490">
        <v>2</v>
      </c>
      <c r="J31" s="490">
        <v>1</v>
      </c>
      <c r="K31" s="490"/>
      <c r="L31" s="490">
        <f>G29-2-2</f>
        <v>724.04</v>
      </c>
      <c r="M31" s="490"/>
      <c r="N31" s="490"/>
      <c r="O31" s="490"/>
      <c r="P31" s="490"/>
      <c r="Q31" s="490"/>
      <c r="R31" s="213"/>
      <c r="S31" s="502"/>
      <c r="T31" s="502"/>
      <c r="U31" s="214"/>
      <c r="V31" s="490">
        <f>SUM(R31:U35)</f>
        <v>60.336666666666666</v>
      </c>
      <c r="W31" s="490">
        <f>+SUM(K31:Q35)</f>
        <v>724.04</v>
      </c>
      <c r="X31" s="490">
        <f>(+I31*J31*W31)/12</f>
        <v>120.67333333333333</v>
      </c>
      <c r="Y31" s="490">
        <f>IF(Y$4=$D31,$X31*Y$5,0)</f>
        <v>0</v>
      </c>
      <c r="Z31" s="490">
        <f t="shared" ref="Z31:AF31" si="4">IF(Z$4=$D31,$X31*Z$5,0)</f>
        <v>0</v>
      </c>
      <c r="AA31" s="490">
        <f t="shared" si="4"/>
        <v>125.86228666666666</v>
      </c>
      <c r="AB31" s="490">
        <f t="shared" si="4"/>
        <v>0</v>
      </c>
      <c r="AC31" s="490">
        <f t="shared" si="4"/>
        <v>0</v>
      </c>
      <c r="AD31" s="490">
        <f t="shared" si="4"/>
        <v>0</v>
      </c>
      <c r="AE31" s="490">
        <f t="shared" si="4"/>
        <v>0</v>
      </c>
      <c r="AF31" s="490">
        <f t="shared" si="4"/>
        <v>0</v>
      </c>
      <c r="AG31" s="490"/>
      <c r="AH31" s="193"/>
    </row>
    <row r="32" spans="1:34" x14ac:dyDescent="0.25">
      <c r="A32" s="193"/>
      <c r="B32" s="491"/>
      <c r="C32" s="500"/>
      <c r="D32" s="491"/>
      <c r="E32" s="491"/>
      <c r="F32" s="491"/>
      <c r="G32" s="491"/>
      <c r="H32" s="491"/>
      <c r="I32" s="491"/>
      <c r="J32" s="491"/>
      <c r="K32" s="491"/>
      <c r="L32" s="491"/>
      <c r="M32" s="491"/>
      <c r="N32" s="491"/>
      <c r="O32" s="491"/>
      <c r="P32" s="491"/>
      <c r="Q32" s="491"/>
      <c r="R32" s="213"/>
      <c r="S32" s="215"/>
      <c r="T32" s="216"/>
      <c r="U32" s="214"/>
      <c r="V32" s="491"/>
      <c r="W32" s="491"/>
      <c r="X32" s="491"/>
      <c r="Y32" s="491"/>
      <c r="Z32" s="491"/>
      <c r="AA32" s="491"/>
      <c r="AB32" s="491"/>
      <c r="AC32" s="491"/>
      <c r="AD32" s="491"/>
      <c r="AE32" s="491"/>
      <c r="AF32" s="491"/>
      <c r="AG32" s="491"/>
      <c r="AH32" s="193"/>
    </row>
    <row r="33" spans="1:34" x14ac:dyDescent="0.25">
      <c r="A33" s="193"/>
      <c r="B33" s="491"/>
      <c r="C33" s="500"/>
      <c r="D33" s="491"/>
      <c r="E33" s="491"/>
      <c r="F33" s="491"/>
      <c r="G33" s="491"/>
      <c r="H33" s="491"/>
      <c r="I33" s="491"/>
      <c r="J33" s="491"/>
      <c r="K33" s="491"/>
      <c r="L33" s="491"/>
      <c r="M33" s="491"/>
      <c r="N33" s="491"/>
      <c r="O33" s="491"/>
      <c r="P33" s="491"/>
      <c r="Q33" s="491"/>
      <c r="R33" s="217"/>
      <c r="S33" s="218"/>
      <c r="T33" s="218"/>
      <c r="U33" s="219"/>
      <c r="V33" s="491"/>
      <c r="W33" s="491"/>
      <c r="X33" s="491"/>
      <c r="Y33" s="491"/>
      <c r="Z33" s="491"/>
      <c r="AA33" s="491"/>
      <c r="AB33" s="491"/>
      <c r="AC33" s="491"/>
      <c r="AD33" s="491"/>
      <c r="AE33" s="491"/>
      <c r="AF33" s="491"/>
      <c r="AG33" s="491"/>
      <c r="AH33" s="193"/>
    </row>
    <row r="34" spans="1:34" ht="15.75" thickBot="1" x14ac:dyDescent="0.3">
      <c r="A34" s="193"/>
      <c r="B34" s="491"/>
      <c r="C34" s="500"/>
      <c r="D34" s="491"/>
      <c r="E34" s="491"/>
      <c r="F34" s="491"/>
      <c r="G34" s="491"/>
      <c r="H34" s="491"/>
      <c r="I34" s="491"/>
      <c r="J34" s="491"/>
      <c r="K34" s="491"/>
      <c r="L34" s="491"/>
      <c r="M34" s="491"/>
      <c r="N34" s="491"/>
      <c r="O34" s="491"/>
      <c r="P34" s="491"/>
      <c r="Q34" s="491"/>
      <c r="R34" s="213"/>
      <c r="S34" s="220"/>
      <c r="T34" s="220"/>
      <c r="U34" s="214"/>
      <c r="V34" s="491"/>
      <c r="W34" s="491"/>
      <c r="X34" s="491"/>
      <c r="Y34" s="491"/>
      <c r="Z34" s="491"/>
      <c r="AA34" s="491"/>
      <c r="AB34" s="491"/>
      <c r="AC34" s="491"/>
      <c r="AD34" s="491"/>
      <c r="AE34" s="491"/>
      <c r="AF34" s="491"/>
      <c r="AG34" s="491"/>
      <c r="AH34" s="193"/>
    </row>
    <row r="35" spans="1:34" x14ac:dyDescent="0.25">
      <c r="A35" s="193"/>
      <c r="B35" s="492"/>
      <c r="C35" s="501"/>
      <c r="D35" s="492"/>
      <c r="E35" s="492"/>
      <c r="F35" s="492"/>
      <c r="G35" s="492"/>
      <c r="H35" s="492"/>
      <c r="I35" s="492"/>
      <c r="J35" s="492"/>
      <c r="K35" s="492"/>
      <c r="L35" s="492"/>
      <c r="M35" s="492"/>
      <c r="N35" s="492"/>
      <c r="O35" s="492"/>
      <c r="P35" s="492"/>
      <c r="Q35" s="492"/>
      <c r="R35" s="221"/>
      <c r="S35" s="493">
        <f>L31/12</f>
        <v>60.336666666666666</v>
      </c>
      <c r="T35" s="493"/>
      <c r="U35" s="222"/>
      <c r="V35" s="492"/>
      <c r="W35" s="492"/>
      <c r="X35" s="492"/>
      <c r="Y35" s="492"/>
      <c r="Z35" s="492"/>
      <c r="AA35" s="492"/>
      <c r="AB35" s="492"/>
      <c r="AC35" s="492"/>
      <c r="AD35" s="492"/>
      <c r="AE35" s="492"/>
      <c r="AF35" s="492"/>
      <c r="AG35" s="492"/>
      <c r="AH35" s="193"/>
    </row>
    <row r="36" spans="1:34" x14ac:dyDescent="0.25">
      <c r="A36" s="193"/>
      <c r="B36" s="490"/>
      <c r="C36" s="499" t="s">
        <v>271</v>
      </c>
      <c r="D36" s="490">
        <v>5</v>
      </c>
      <c r="E36" s="490">
        <v>0.625</v>
      </c>
      <c r="F36" s="490"/>
      <c r="G36" s="490"/>
      <c r="H36" s="490"/>
      <c r="I36" s="490">
        <v>2</v>
      </c>
      <c r="J36" s="490">
        <v>2</v>
      </c>
      <c r="K36" s="490">
        <v>30</v>
      </c>
      <c r="L36" s="490">
        <v>30</v>
      </c>
      <c r="M36" s="490"/>
      <c r="N36" s="490"/>
      <c r="O36" s="490"/>
      <c r="P36" s="490"/>
      <c r="Q36" s="490"/>
      <c r="R36" s="213"/>
      <c r="S36" s="498"/>
      <c r="T36" s="498"/>
      <c r="U36" s="214"/>
      <c r="V36" s="490">
        <f>SUM(R36:U40)</f>
        <v>5</v>
      </c>
      <c r="W36" s="490">
        <f>+SUM(K36:Q40)</f>
        <v>60</v>
      </c>
      <c r="X36" s="490">
        <f>(+I36*J36*W36)/12</f>
        <v>20</v>
      </c>
      <c r="Y36" s="490">
        <f t="shared" ref="Y36:AF36" si="5">IF(Y$4=$D36,$X36*Y$5,0)</f>
        <v>0</v>
      </c>
      <c r="Z36" s="490">
        <f t="shared" si="5"/>
        <v>0</v>
      </c>
      <c r="AA36" s="490">
        <f t="shared" si="5"/>
        <v>20.86</v>
      </c>
      <c r="AB36" s="490">
        <f t="shared" si="5"/>
        <v>0</v>
      </c>
      <c r="AC36" s="490">
        <f t="shared" si="5"/>
        <v>0</v>
      </c>
      <c r="AD36" s="490">
        <f t="shared" si="5"/>
        <v>0</v>
      </c>
      <c r="AE36" s="490">
        <f t="shared" si="5"/>
        <v>0</v>
      </c>
      <c r="AF36" s="490">
        <f t="shared" si="5"/>
        <v>0</v>
      </c>
      <c r="AG36" s="490"/>
      <c r="AH36" s="193"/>
    </row>
    <row r="37" spans="1:34" x14ac:dyDescent="0.25">
      <c r="A37" s="193"/>
      <c r="B37" s="491"/>
      <c r="C37" s="500"/>
      <c r="D37" s="491"/>
      <c r="E37" s="491"/>
      <c r="F37" s="491"/>
      <c r="G37" s="491"/>
      <c r="H37" s="491"/>
      <c r="I37" s="491"/>
      <c r="J37" s="491"/>
      <c r="K37" s="491"/>
      <c r="L37" s="491"/>
      <c r="M37" s="491"/>
      <c r="N37" s="491"/>
      <c r="O37" s="491"/>
      <c r="P37" s="491"/>
      <c r="Q37" s="491"/>
      <c r="R37" s="213"/>
      <c r="S37" s="215"/>
      <c r="T37" s="216"/>
      <c r="U37" s="214"/>
      <c r="V37" s="491"/>
      <c r="W37" s="491"/>
      <c r="X37" s="491"/>
      <c r="Y37" s="491"/>
      <c r="Z37" s="491"/>
      <c r="AA37" s="491"/>
      <c r="AB37" s="491"/>
      <c r="AC37" s="491"/>
      <c r="AD37" s="491"/>
      <c r="AE37" s="491"/>
      <c r="AF37" s="491"/>
      <c r="AG37" s="491"/>
      <c r="AH37" s="193"/>
    </row>
    <row r="38" spans="1:34" x14ac:dyDescent="0.25">
      <c r="A38" s="193"/>
      <c r="B38" s="491"/>
      <c r="C38" s="500"/>
      <c r="D38" s="491"/>
      <c r="E38" s="491"/>
      <c r="F38" s="491"/>
      <c r="G38" s="491"/>
      <c r="H38" s="491"/>
      <c r="I38" s="491"/>
      <c r="J38" s="491"/>
      <c r="K38" s="491"/>
      <c r="L38" s="491"/>
      <c r="M38" s="491"/>
      <c r="N38" s="491"/>
      <c r="O38" s="491"/>
      <c r="P38" s="491"/>
      <c r="Q38" s="491"/>
      <c r="R38" s="217">
        <f>K36/12</f>
        <v>2.5</v>
      </c>
      <c r="S38" s="223"/>
      <c r="T38" s="195"/>
      <c r="U38" s="219"/>
      <c r="V38" s="491"/>
      <c r="W38" s="491"/>
      <c r="X38" s="491"/>
      <c r="Y38" s="491"/>
      <c r="Z38" s="491"/>
      <c r="AA38" s="491"/>
      <c r="AB38" s="491"/>
      <c r="AC38" s="491"/>
      <c r="AD38" s="491"/>
      <c r="AE38" s="491"/>
      <c r="AF38" s="491"/>
      <c r="AG38" s="491"/>
      <c r="AH38" s="193"/>
    </row>
    <row r="39" spans="1:34" ht="15.75" thickBot="1" x14ac:dyDescent="0.3">
      <c r="A39" s="193"/>
      <c r="B39" s="491"/>
      <c r="C39" s="500"/>
      <c r="D39" s="491"/>
      <c r="E39" s="491"/>
      <c r="F39" s="491"/>
      <c r="G39" s="491"/>
      <c r="H39" s="491"/>
      <c r="I39" s="491"/>
      <c r="J39" s="491"/>
      <c r="K39" s="491"/>
      <c r="L39" s="491"/>
      <c r="M39" s="491"/>
      <c r="N39" s="491"/>
      <c r="O39" s="491"/>
      <c r="P39" s="491"/>
      <c r="Q39" s="491"/>
      <c r="R39" s="213"/>
      <c r="S39" s="224"/>
      <c r="T39" s="220"/>
      <c r="U39" s="214"/>
      <c r="V39" s="491"/>
      <c r="W39" s="491"/>
      <c r="X39" s="491"/>
      <c r="Y39" s="491"/>
      <c r="Z39" s="491"/>
      <c r="AA39" s="491"/>
      <c r="AB39" s="491"/>
      <c r="AC39" s="491"/>
      <c r="AD39" s="491"/>
      <c r="AE39" s="491"/>
      <c r="AF39" s="491"/>
      <c r="AG39" s="491"/>
      <c r="AH39" s="193"/>
    </row>
    <row r="40" spans="1:34" x14ac:dyDescent="0.25">
      <c r="A40" s="193"/>
      <c r="B40" s="492"/>
      <c r="C40" s="501"/>
      <c r="D40" s="492"/>
      <c r="E40" s="492"/>
      <c r="F40" s="492"/>
      <c r="G40" s="492"/>
      <c r="H40" s="492"/>
      <c r="I40" s="492"/>
      <c r="J40" s="492"/>
      <c r="K40" s="492"/>
      <c r="L40" s="492"/>
      <c r="M40" s="492"/>
      <c r="N40" s="492"/>
      <c r="O40" s="492"/>
      <c r="P40" s="492"/>
      <c r="Q40" s="492"/>
      <c r="R40" s="221"/>
      <c r="S40" s="493">
        <f>L36/12</f>
        <v>2.5</v>
      </c>
      <c r="T40" s="493"/>
      <c r="U40" s="222"/>
      <c r="V40" s="492"/>
      <c r="W40" s="492"/>
      <c r="X40" s="492"/>
      <c r="Y40" s="492"/>
      <c r="Z40" s="492"/>
      <c r="AA40" s="492"/>
      <c r="AB40" s="492"/>
      <c r="AC40" s="492"/>
      <c r="AD40" s="492"/>
      <c r="AE40" s="492"/>
      <c r="AF40" s="492"/>
      <c r="AG40" s="492"/>
      <c r="AH40" s="193"/>
    </row>
    <row r="41" spans="1:34" x14ac:dyDescent="0.25">
      <c r="A41" s="193"/>
      <c r="B41" s="490"/>
      <c r="C41" s="490" t="s">
        <v>277</v>
      </c>
      <c r="D41" s="490">
        <v>5</v>
      </c>
      <c r="E41" s="490">
        <v>0.625</v>
      </c>
      <c r="F41" s="494">
        <v>16</v>
      </c>
      <c r="G41" s="229"/>
      <c r="H41" s="490"/>
      <c r="I41" s="490">
        <f>ROUNDUP(G31/F41,0)</f>
        <v>46</v>
      </c>
      <c r="J41" s="490">
        <v>1</v>
      </c>
      <c r="K41" s="490">
        <v>6</v>
      </c>
      <c r="L41" s="490">
        <f>4*12-2</f>
        <v>46</v>
      </c>
      <c r="M41" s="490">
        <f>11*12</f>
        <v>132</v>
      </c>
      <c r="N41" s="490"/>
      <c r="O41" s="490"/>
      <c r="P41" s="490"/>
      <c r="Q41" s="490"/>
      <c r="R41" s="213"/>
      <c r="S41" s="498"/>
      <c r="T41" s="498"/>
      <c r="U41" s="214"/>
      <c r="V41" s="490">
        <f>SUM(R41:U45)</f>
        <v>15.333333333333334</v>
      </c>
      <c r="W41" s="490">
        <f>+SUM(K41:Q45)</f>
        <v>184</v>
      </c>
      <c r="X41" s="490">
        <f>(+I41*J41*W41)/12</f>
        <v>705.33333333333337</v>
      </c>
      <c r="Y41" s="490">
        <f t="shared" ref="Y41:AF41" si="6">IF(Y$4=$D41,$X41*Y$5,0)</f>
        <v>0</v>
      </c>
      <c r="Z41" s="490">
        <f t="shared" si="6"/>
        <v>0</v>
      </c>
      <c r="AA41" s="490">
        <f t="shared" si="6"/>
        <v>735.66266666666661</v>
      </c>
      <c r="AB41" s="490">
        <f t="shared" si="6"/>
        <v>0</v>
      </c>
      <c r="AC41" s="490">
        <f t="shared" si="6"/>
        <v>0</v>
      </c>
      <c r="AD41" s="490">
        <f t="shared" si="6"/>
        <v>0</v>
      </c>
      <c r="AE41" s="490">
        <f t="shared" si="6"/>
        <v>0</v>
      </c>
      <c r="AF41" s="490">
        <f t="shared" si="6"/>
        <v>0</v>
      </c>
      <c r="AG41" s="490"/>
      <c r="AH41" s="193"/>
    </row>
    <row r="42" spans="1:34" x14ac:dyDescent="0.25">
      <c r="A42" s="193"/>
      <c r="B42" s="491"/>
      <c r="C42" s="491"/>
      <c r="D42" s="491"/>
      <c r="E42" s="491"/>
      <c r="F42" s="495"/>
      <c r="G42" s="230"/>
      <c r="H42" s="491"/>
      <c r="I42" s="491"/>
      <c r="J42" s="491"/>
      <c r="K42" s="491"/>
      <c r="L42" s="491"/>
      <c r="M42" s="491"/>
      <c r="N42" s="491"/>
      <c r="O42" s="491"/>
      <c r="P42" s="491"/>
      <c r="Q42" s="491"/>
      <c r="R42" s="213"/>
      <c r="S42" s="215"/>
      <c r="T42" s="216"/>
      <c r="U42" s="214"/>
      <c r="V42" s="491"/>
      <c r="W42" s="491"/>
      <c r="X42" s="491"/>
      <c r="Y42" s="491"/>
      <c r="Z42" s="491"/>
      <c r="AA42" s="491"/>
      <c r="AB42" s="491"/>
      <c r="AC42" s="491"/>
      <c r="AD42" s="491"/>
      <c r="AE42" s="491"/>
      <c r="AF42" s="491"/>
      <c r="AG42" s="491"/>
      <c r="AH42" s="193"/>
    </row>
    <row r="43" spans="1:34" x14ac:dyDescent="0.25">
      <c r="A43" s="193"/>
      <c r="B43" s="491"/>
      <c r="C43" s="491"/>
      <c r="D43" s="491"/>
      <c r="E43" s="491"/>
      <c r="F43" s="495"/>
      <c r="G43" s="230"/>
      <c r="H43" s="491"/>
      <c r="I43" s="491"/>
      <c r="J43" s="491"/>
      <c r="K43" s="491"/>
      <c r="L43" s="491"/>
      <c r="M43" s="491"/>
      <c r="N43" s="491"/>
      <c r="O43" s="491"/>
      <c r="P43" s="491"/>
      <c r="Q43" s="491"/>
      <c r="R43" s="217">
        <f>K41/12</f>
        <v>0.5</v>
      </c>
      <c r="S43" s="218"/>
      <c r="T43" s="218"/>
      <c r="U43" s="219"/>
      <c r="V43" s="491"/>
      <c r="W43" s="491"/>
      <c r="X43" s="491"/>
      <c r="Y43" s="491"/>
      <c r="Z43" s="491"/>
      <c r="AA43" s="491"/>
      <c r="AB43" s="491"/>
      <c r="AC43" s="491"/>
      <c r="AD43" s="491"/>
      <c r="AE43" s="491"/>
      <c r="AF43" s="491"/>
      <c r="AG43" s="491"/>
      <c r="AH43" s="193"/>
    </row>
    <row r="44" spans="1:34" ht="15.75" thickBot="1" x14ac:dyDescent="0.3">
      <c r="A44" s="193"/>
      <c r="B44" s="491"/>
      <c r="C44" s="491"/>
      <c r="D44" s="491"/>
      <c r="E44" s="491"/>
      <c r="F44" s="495"/>
      <c r="G44" s="230"/>
      <c r="H44" s="491"/>
      <c r="I44" s="491"/>
      <c r="J44" s="491"/>
      <c r="K44" s="491"/>
      <c r="L44" s="491"/>
      <c r="M44" s="491"/>
      <c r="N44" s="491"/>
      <c r="O44" s="491"/>
      <c r="P44" s="491"/>
      <c r="Q44" s="491"/>
      <c r="R44" s="213"/>
      <c r="S44" s="220"/>
      <c r="T44" s="220"/>
      <c r="U44" s="214"/>
      <c r="V44" s="491"/>
      <c r="W44" s="491"/>
      <c r="X44" s="491"/>
      <c r="Y44" s="491"/>
      <c r="Z44" s="491"/>
      <c r="AA44" s="491"/>
      <c r="AB44" s="491"/>
      <c r="AC44" s="491"/>
      <c r="AD44" s="491"/>
      <c r="AE44" s="491"/>
      <c r="AF44" s="491"/>
      <c r="AG44" s="491"/>
      <c r="AH44" s="193"/>
    </row>
    <row r="45" spans="1:34" x14ac:dyDescent="0.25">
      <c r="A45" s="193"/>
      <c r="B45" s="492"/>
      <c r="C45" s="492"/>
      <c r="D45" s="491"/>
      <c r="E45" s="491"/>
      <c r="F45" s="496"/>
      <c r="G45" s="231"/>
      <c r="H45" s="492"/>
      <c r="I45" s="492"/>
      <c r="J45" s="492"/>
      <c r="K45" s="492"/>
      <c r="L45" s="492"/>
      <c r="M45" s="492"/>
      <c r="N45" s="492"/>
      <c r="O45" s="492"/>
      <c r="P45" s="492"/>
      <c r="Q45" s="492"/>
      <c r="R45" s="221"/>
      <c r="S45" s="493">
        <f>+SUM(L41:M45)/12</f>
        <v>14.833333333333334</v>
      </c>
      <c r="T45" s="493"/>
      <c r="U45" s="222"/>
      <c r="V45" s="492"/>
      <c r="W45" s="492"/>
      <c r="X45" s="492"/>
      <c r="Y45" s="492"/>
      <c r="Z45" s="492"/>
      <c r="AA45" s="492"/>
      <c r="AB45" s="492"/>
      <c r="AC45" s="492"/>
      <c r="AD45" s="492"/>
      <c r="AE45" s="492"/>
      <c r="AF45" s="492"/>
      <c r="AG45" s="492"/>
      <c r="AH45" s="193"/>
    </row>
    <row r="46" spans="1:34" x14ac:dyDescent="0.25">
      <c r="A46" s="193"/>
      <c r="B46" s="490"/>
      <c r="C46" s="490" t="s">
        <v>286</v>
      </c>
      <c r="D46" s="490">
        <v>5</v>
      </c>
      <c r="E46" s="490">
        <v>0.625</v>
      </c>
      <c r="F46" s="494">
        <v>16</v>
      </c>
      <c r="G46" s="229"/>
      <c r="H46" s="490"/>
      <c r="I46" s="490">
        <f>ROUNDUP(M41/16,0)</f>
        <v>9</v>
      </c>
      <c r="J46" s="490">
        <v>1</v>
      </c>
      <c r="K46" s="490"/>
      <c r="L46" s="490">
        <f>G29-2-2</f>
        <v>724.04</v>
      </c>
      <c r="M46" s="490"/>
      <c r="N46" s="490"/>
      <c r="O46" s="490"/>
      <c r="P46" s="490"/>
      <c r="Q46" s="490"/>
      <c r="R46" s="213"/>
      <c r="S46" s="498"/>
      <c r="T46" s="498"/>
      <c r="U46" s="214"/>
      <c r="V46" s="490">
        <f>SUM(R46:U50)</f>
        <v>60.336666666666666</v>
      </c>
      <c r="W46" s="490">
        <f>+SUM(K46:Q50)</f>
        <v>724.04</v>
      </c>
      <c r="X46" s="490">
        <f>(+I46*J46*W46)/12</f>
        <v>543.03</v>
      </c>
      <c r="Y46" s="490">
        <f t="shared" ref="Y46:AF46" si="7">IF(Y$4=$D46,$X46*Y$5,0)</f>
        <v>0</v>
      </c>
      <c r="Z46" s="490">
        <f t="shared" si="7"/>
        <v>0</v>
      </c>
      <c r="AA46" s="490">
        <f t="shared" si="7"/>
        <v>566.38028999999995</v>
      </c>
      <c r="AB46" s="490">
        <f t="shared" si="7"/>
        <v>0</v>
      </c>
      <c r="AC46" s="490">
        <f t="shared" si="7"/>
        <v>0</v>
      </c>
      <c r="AD46" s="490">
        <f t="shared" si="7"/>
        <v>0</v>
      </c>
      <c r="AE46" s="490">
        <f t="shared" si="7"/>
        <v>0</v>
      </c>
      <c r="AF46" s="490">
        <f t="shared" si="7"/>
        <v>0</v>
      </c>
      <c r="AG46" s="490"/>
      <c r="AH46" s="193"/>
    </row>
    <row r="47" spans="1:34" x14ac:dyDescent="0.25">
      <c r="A47" s="193"/>
      <c r="B47" s="491"/>
      <c r="C47" s="491"/>
      <c r="D47" s="491"/>
      <c r="E47" s="491"/>
      <c r="F47" s="495"/>
      <c r="G47" s="230"/>
      <c r="H47" s="491"/>
      <c r="I47" s="491"/>
      <c r="J47" s="491"/>
      <c r="K47" s="491"/>
      <c r="L47" s="491"/>
      <c r="M47" s="491"/>
      <c r="N47" s="491"/>
      <c r="O47" s="491"/>
      <c r="P47" s="491"/>
      <c r="Q47" s="491"/>
      <c r="R47" s="213"/>
      <c r="S47" s="215"/>
      <c r="T47" s="216"/>
      <c r="U47" s="214"/>
      <c r="V47" s="491"/>
      <c r="W47" s="491"/>
      <c r="X47" s="491"/>
      <c r="Y47" s="491"/>
      <c r="Z47" s="491"/>
      <c r="AA47" s="491"/>
      <c r="AB47" s="491"/>
      <c r="AC47" s="491"/>
      <c r="AD47" s="491"/>
      <c r="AE47" s="491"/>
      <c r="AF47" s="491"/>
      <c r="AG47" s="491"/>
      <c r="AH47" s="193"/>
    </row>
    <row r="48" spans="1:34" x14ac:dyDescent="0.25">
      <c r="A48" s="193"/>
      <c r="B48" s="491"/>
      <c r="C48" s="491"/>
      <c r="D48" s="491"/>
      <c r="E48" s="491"/>
      <c r="F48" s="495"/>
      <c r="G48" s="230"/>
      <c r="H48" s="491"/>
      <c r="I48" s="491"/>
      <c r="J48" s="491"/>
      <c r="K48" s="491"/>
      <c r="L48" s="491"/>
      <c r="M48" s="491"/>
      <c r="N48" s="491"/>
      <c r="O48" s="491"/>
      <c r="P48" s="491"/>
      <c r="Q48" s="497"/>
      <c r="R48" s="217"/>
      <c r="S48" s="218"/>
      <c r="T48" s="218"/>
      <c r="U48" s="219"/>
      <c r="V48" s="491"/>
      <c r="W48" s="491"/>
      <c r="X48" s="491"/>
      <c r="Y48" s="491"/>
      <c r="Z48" s="491"/>
      <c r="AA48" s="491"/>
      <c r="AB48" s="491"/>
      <c r="AC48" s="491"/>
      <c r="AD48" s="491"/>
      <c r="AE48" s="491"/>
      <c r="AF48" s="491"/>
      <c r="AG48" s="491"/>
      <c r="AH48" s="193"/>
    </row>
    <row r="49" spans="1:34" ht="15.75" thickBot="1" x14ac:dyDescent="0.3">
      <c r="A49" s="193"/>
      <c r="B49" s="491"/>
      <c r="C49" s="491"/>
      <c r="D49" s="491"/>
      <c r="E49" s="491"/>
      <c r="F49" s="495"/>
      <c r="G49" s="230"/>
      <c r="H49" s="491"/>
      <c r="I49" s="491"/>
      <c r="J49" s="491"/>
      <c r="K49" s="491"/>
      <c r="L49" s="491"/>
      <c r="M49" s="491"/>
      <c r="N49" s="491"/>
      <c r="O49" s="491"/>
      <c r="P49" s="491"/>
      <c r="Q49" s="497"/>
      <c r="R49" s="213"/>
      <c r="S49" s="220"/>
      <c r="T49" s="220"/>
      <c r="U49" s="214"/>
      <c r="V49" s="491"/>
      <c r="W49" s="491"/>
      <c r="X49" s="491"/>
      <c r="Y49" s="491"/>
      <c r="Z49" s="491"/>
      <c r="AA49" s="491"/>
      <c r="AB49" s="491"/>
      <c r="AC49" s="491"/>
      <c r="AD49" s="491"/>
      <c r="AE49" s="491"/>
      <c r="AF49" s="491"/>
      <c r="AG49" s="491"/>
      <c r="AH49" s="193"/>
    </row>
    <row r="50" spans="1:34" x14ac:dyDescent="0.25">
      <c r="A50" s="193"/>
      <c r="B50" s="492"/>
      <c r="C50" s="492"/>
      <c r="D50" s="491"/>
      <c r="E50" s="491"/>
      <c r="F50" s="496"/>
      <c r="G50" s="231"/>
      <c r="H50" s="492"/>
      <c r="I50" s="492"/>
      <c r="J50" s="492"/>
      <c r="K50" s="492"/>
      <c r="L50" s="492"/>
      <c r="M50" s="492"/>
      <c r="N50" s="492"/>
      <c r="O50" s="492"/>
      <c r="P50" s="492"/>
      <c r="Q50" s="492"/>
      <c r="R50" s="221"/>
      <c r="S50" s="493">
        <f>L46/12</f>
        <v>60.336666666666666</v>
      </c>
      <c r="T50" s="493"/>
      <c r="U50" s="222"/>
      <c r="V50" s="492"/>
      <c r="W50" s="492"/>
      <c r="X50" s="492"/>
      <c r="Y50" s="492"/>
      <c r="Z50" s="492"/>
      <c r="AA50" s="492"/>
      <c r="AB50" s="492"/>
      <c r="AC50" s="492"/>
      <c r="AD50" s="492"/>
      <c r="AE50" s="492"/>
      <c r="AF50" s="492"/>
      <c r="AG50" s="492"/>
      <c r="AH50" s="193"/>
    </row>
    <row r="51" spans="1:34" ht="15.75" thickBot="1" x14ac:dyDescent="0.3">
      <c r="A51" s="195"/>
      <c r="B51" s="200" t="s">
        <v>287</v>
      </c>
      <c r="C51" s="199" t="s">
        <v>264</v>
      </c>
      <c r="D51" s="197">
        <v>60</v>
      </c>
      <c r="E51" s="201">
        <v>8</v>
      </c>
      <c r="F51" s="202"/>
      <c r="G51" s="202">
        <f>21.67*12</f>
        <v>260.04000000000002</v>
      </c>
      <c r="H51" s="202">
        <v>20</v>
      </c>
      <c r="I51" s="202">
        <v>12</v>
      </c>
      <c r="J51" s="202">
        <v>12</v>
      </c>
      <c r="K51" s="199"/>
      <c r="L51" s="199"/>
      <c r="M51" s="199"/>
      <c r="N51" s="199"/>
      <c r="O51" s="199"/>
      <c r="P51" s="199"/>
      <c r="Q51" s="198"/>
      <c r="R51" s="196"/>
      <c r="S51" s="196"/>
      <c r="T51" s="196"/>
      <c r="U51" s="196"/>
      <c r="V51" s="203"/>
      <c r="W51" s="202"/>
      <c r="X51" s="202"/>
      <c r="Y51" s="199"/>
      <c r="Z51" s="199"/>
      <c r="AA51" s="199"/>
      <c r="AB51" s="199"/>
      <c r="AC51" s="199"/>
      <c r="AD51" s="199"/>
      <c r="AE51" s="199"/>
      <c r="AF51" s="199"/>
      <c r="AG51" s="199"/>
      <c r="AH51" s="195"/>
    </row>
    <row r="52" spans="1:34" ht="15.75" thickBot="1" x14ac:dyDescent="0.3">
      <c r="A52" s="193"/>
      <c r="B52" s="204"/>
      <c r="C52" s="205"/>
      <c r="D52" s="194"/>
      <c r="E52" s="206"/>
      <c r="F52" s="205"/>
      <c r="G52" s="205"/>
      <c r="H52" s="207">
        <v>3</v>
      </c>
      <c r="I52" s="207">
        <v>2</v>
      </c>
      <c r="J52" s="205"/>
      <c r="K52" s="205"/>
      <c r="L52" s="205"/>
      <c r="M52" s="205"/>
      <c r="N52" s="205"/>
      <c r="O52" s="205"/>
      <c r="P52" s="205"/>
      <c r="Q52" s="208"/>
      <c r="R52" s="209"/>
      <c r="S52" s="210"/>
      <c r="T52" s="210"/>
      <c r="U52" s="211"/>
      <c r="V52" s="212"/>
      <c r="W52" s="204"/>
      <c r="X52" s="204"/>
      <c r="Y52" s="205"/>
      <c r="Z52" s="205"/>
      <c r="AA52" s="205"/>
      <c r="AB52" s="205"/>
      <c r="AC52" s="205"/>
      <c r="AD52" s="205"/>
      <c r="AE52" s="205"/>
      <c r="AF52" s="205"/>
      <c r="AG52" s="205"/>
      <c r="AH52" s="193"/>
    </row>
    <row r="53" spans="1:34" x14ac:dyDescent="0.25">
      <c r="A53" s="193"/>
      <c r="B53" s="490"/>
      <c r="C53" s="499" t="s">
        <v>265</v>
      </c>
      <c r="D53" s="490">
        <v>5</v>
      </c>
      <c r="E53" s="490">
        <v>0.625</v>
      </c>
      <c r="F53" s="490"/>
      <c r="G53" s="490">
        <f>G51</f>
        <v>260.04000000000002</v>
      </c>
      <c r="H53" s="490"/>
      <c r="I53" s="490">
        <v>2</v>
      </c>
      <c r="J53" s="490">
        <v>1</v>
      </c>
      <c r="K53" s="490"/>
      <c r="L53" s="490">
        <f>G51-2-2</f>
        <v>256.04000000000002</v>
      </c>
      <c r="M53" s="490"/>
      <c r="N53" s="490"/>
      <c r="O53" s="490"/>
      <c r="P53" s="490"/>
      <c r="Q53" s="490"/>
      <c r="R53" s="213"/>
      <c r="S53" s="502"/>
      <c r="T53" s="502"/>
      <c r="U53" s="214"/>
      <c r="V53" s="490">
        <f>SUM(R53:U57)</f>
        <v>21.33666666666667</v>
      </c>
      <c r="W53" s="490">
        <f>+SUM(K53:Q57)</f>
        <v>256.04000000000002</v>
      </c>
      <c r="X53" s="490">
        <f>(+I53*J53*W53)/12</f>
        <v>42.673333333333339</v>
      </c>
      <c r="Y53" s="490">
        <f>IF(Y$4=$D53,$X53*Y$5,0)</f>
        <v>0</v>
      </c>
      <c r="Z53" s="490">
        <f t="shared" ref="Z53:AF53" si="8">IF(Z$4=$D53,$X53*Z$5,0)</f>
        <v>0</v>
      </c>
      <c r="AA53" s="490">
        <f t="shared" si="8"/>
        <v>44.50828666666667</v>
      </c>
      <c r="AB53" s="490">
        <f t="shared" si="8"/>
        <v>0</v>
      </c>
      <c r="AC53" s="490">
        <f t="shared" si="8"/>
        <v>0</v>
      </c>
      <c r="AD53" s="490">
        <f t="shared" si="8"/>
        <v>0</v>
      </c>
      <c r="AE53" s="490">
        <f t="shared" si="8"/>
        <v>0</v>
      </c>
      <c r="AF53" s="490">
        <f t="shared" si="8"/>
        <v>0</v>
      </c>
      <c r="AG53" s="490"/>
      <c r="AH53" s="193"/>
    </row>
    <row r="54" spans="1:34" x14ac:dyDescent="0.25">
      <c r="A54" s="193"/>
      <c r="B54" s="491"/>
      <c r="C54" s="500"/>
      <c r="D54" s="491"/>
      <c r="E54" s="491"/>
      <c r="F54" s="491"/>
      <c r="G54" s="491"/>
      <c r="H54" s="491"/>
      <c r="I54" s="491"/>
      <c r="J54" s="491"/>
      <c r="K54" s="491"/>
      <c r="L54" s="491"/>
      <c r="M54" s="491"/>
      <c r="N54" s="491"/>
      <c r="O54" s="491"/>
      <c r="P54" s="491"/>
      <c r="Q54" s="491"/>
      <c r="R54" s="213"/>
      <c r="S54" s="215"/>
      <c r="T54" s="216"/>
      <c r="U54" s="214"/>
      <c r="V54" s="491"/>
      <c r="W54" s="491"/>
      <c r="X54" s="491"/>
      <c r="Y54" s="491"/>
      <c r="Z54" s="491"/>
      <c r="AA54" s="491"/>
      <c r="AB54" s="491"/>
      <c r="AC54" s="491"/>
      <c r="AD54" s="491"/>
      <c r="AE54" s="491"/>
      <c r="AF54" s="491"/>
      <c r="AG54" s="491"/>
      <c r="AH54" s="193"/>
    </row>
    <row r="55" spans="1:34" x14ac:dyDescent="0.25">
      <c r="A55" s="193"/>
      <c r="B55" s="491"/>
      <c r="C55" s="500"/>
      <c r="D55" s="491"/>
      <c r="E55" s="491"/>
      <c r="F55" s="491"/>
      <c r="G55" s="491"/>
      <c r="H55" s="491"/>
      <c r="I55" s="491"/>
      <c r="J55" s="491"/>
      <c r="K55" s="491"/>
      <c r="L55" s="491"/>
      <c r="M55" s="491"/>
      <c r="N55" s="491"/>
      <c r="O55" s="491"/>
      <c r="P55" s="491"/>
      <c r="Q55" s="491"/>
      <c r="R55" s="217"/>
      <c r="S55" s="218"/>
      <c r="T55" s="218"/>
      <c r="U55" s="219"/>
      <c r="V55" s="491"/>
      <c r="W55" s="491"/>
      <c r="X55" s="491"/>
      <c r="Y55" s="491"/>
      <c r="Z55" s="491"/>
      <c r="AA55" s="491"/>
      <c r="AB55" s="491"/>
      <c r="AC55" s="491"/>
      <c r="AD55" s="491"/>
      <c r="AE55" s="491"/>
      <c r="AF55" s="491"/>
      <c r="AG55" s="491"/>
      <c r="AH55" s="193"/>
    </row>
    <row r="56" spans="1:34" ht="15.75" thickBot="1" x14ac:dyDescent="0.3">
      <c r="A56" s="193"/>
      <c r="B56" s="491"/>
      <c r="C56" s="500"/>
      <c r="D56" s="491"/>
      <c r="E56" s="491"/>
      <c r="F56" s="491"/>
      <c r="G56" s="491"/>
      <c r="H56" s="491"/>
      <c r="I56" s="491"/>
      <c r="J56" s="491"/>
      <c r="K56" s="491"/>
      <c r="L56" s="491"/>
      <c r="M56" s="491"/>
      <c r="N56" s="491"/>
      <c r="O56" s="491"/>
      <c r="P56" s="491"/>
      <c r="Q56" s="491"/>
      <c r="R56" s="213"/>
      <c r="S56" s="220"/>
      <c r="T56" s="220"/>
      <c r="U56" s="214"/>
      <c r="V56" s="491"/>
      <c r="W56" s="491"/>
      <c r="X56" s="491"/>
      <c r="Y56" s="491"/>
      <c r="Z56" s="491"/>
      <c r="AA56" s="491"/>
      <c r="AB56" s="491"/>
      <c r="AC56" s="491"/>
      <c r="AD56" s="491"/>
      <c r="AE56" s="491"/>
      <c r="AF56" s="491"/>
      <c r="AG56" s="491"/>
      <c r="AH56" s="193"/>
    </row>
    <row r="57" spans="1:34" x14ac:dyDescent="0.25">
      <c r="A57" s="193"/>
      <c r="B57" s="492"/>
      <c r="C57" s="501"/>
      <c r="D57" s="492"/>
      <c r="E57" s="492"/>
      <c r="F57" s="492"/>
      <c r="G57" s="492"/>
      <c r="H57" s="492"/>
      <c r="I57" s="492"/>
      <c r="J57" s="492"/>
      <c r="K57" s="492"/>
      <c r="L57" s="492"/>
      <c r="M57" s="492"/>
      <c r="N57" s="492"/>
      <c r="O57" s="492"/>
      <c r="P57" s="492"/>
      <c r="Q57" s="492"/>
      <c r="R57" s="221"/>
      <c r="S57" s="493">
        <f>L53/12</f>
        <v>21.33666666666667</v>
      </c>
      <c r="T57" s="493"/>
      <c r="U57" s="222"/>
      <c r="V57" s="492"/>
      <c r="W57" s="492"/>
      <c r="X57" s="492"/>
      <c r="Y57" s="492"/>
      <c r="Z57" s="492"/>
      <c r="AA57" s="492"/>
      <c r="AB57" s="492"/>
      <c r="AC57" s="492"/>
      <c r="AD57" s="492"/>
      <c r="AE57" s="492"/>
      <c r="AF57" s="492"/>
      <c r="AG57" s="492"/>
      <c r="AH57" s="193"/>
    </row>
    <row r="58" spans="1:34" x14ac:dyDescent="0.25">
      <c r="A58" s="193"/>
      <c r="B58" s="490"/>
      <c r="C58" s="499" t="s">
        <v>271</v>
      </c>
      <c r="D58" s="490">
        <v>5</v>
      </c>
      <c r="E58" s="490">
        <v>0.625</v>
      </c>
      <c r="F58" s="490"/>
      <c r="G58" s="490"/>
      <c r="H58" s="490"/>
      <c r="I58" s="490">
        <v>2</v>
      </c>
      <c r="J58" s="490">
        <v>2</v>
      </c>
      <c r="K58" s="490">
        <v>30</v>
      </c>
      <c r="L58" s="490">
        <v>30</v>
      </c>
      <c r="M58" s="490"/>
      <c r="N58" s="490"/>
      <c r="O58" s="490"/>
      <c r="P58" s="490"/>
      <c r="Q58" s="490"/>
      <c r="R58" s="213"/>
      <c r="S58" s="498"/>
      <c r="T58" s="498"/>
      <c r="U58" s="214"/>
      <c r="V58" s="490">
        <f>SUM(R58:U62)</f>
        <v>5</v>
      </c>
      <c r="W58" s="490">
        <f>+SUM(K58:Q62)</f>
        <v>60</v>
      </c>
      <c r="X58" s="490">
        <f>(+I58*J58*W58)/12</f>
        <v>20</v>
      </c>
      <c r="Y58" s="490">
        <f t="shared" ref="Y58:AF58" si="9">IF(Y$4=$D58,$X58*Y$5,0)</f>
        <v>0</v>
      </c>
      <c r="Z58" s="490">
        <f t="shared" si="9"/>
        <v>0</v>
      </c>
      <c r="AA58" s="490">
        <f t="shared" si="9"/>
        <v>20.86</v>
      </c>
      <c r="AB58" s="490">
        <f t="shared" si="9"/>
        <v>0</v>
      </c>
      <c r="AC58" s="490">
        <f t="shared" si="9"/>
        <v>0</v>
      </c>
      <c r="AD58" s="490">
        <f t="shared" si="9"/>
        <v>0</v>
      </c>
      <c r="AE58" s="490">
        <f t="shared" si="9"/>
        <v>0</v>
      </c>
      <c r="AF58" s="490">
        <f t="shared" si="9"/>
        <v>0</v>
      </c>
      <c r="AG58" s="490"/>
      <c r="AH58" s="193"/>
    </row>
    <row r="59" spans="1:34" x14ac:dyDescent="0.25">
      <c r="A59" s="193"/>
      <c r="B59" s="491"/>
      <c r="C59" s="500"/>
      <c r="D59" s="491"/>
      <c r="E59" s="491"/>
      <c r="F59" s="491"/>
      <c r="G59" s="491"/>
      <c r="H59" s="491"/>
      <c r="I59" s="491"/>
      <c r="J59" s="491"/>
      <c r="K59" s="491"/>
      <c r="L59" s="491"/>
      <c r="M59" s="491"/>
      <c r="N59" s="491"/>
      <c r="O59" s="491"/>
      <c r="P59" s="491"/>
      <c r="Q59" s="491"/>
      <c r="R59" s="213"/>
      <c r="S59" s="215"/>
      <c r="T59" s="216"/>
      <c r="U59" s="214"/>
      <c r="V59" s="491"/>
      <c r="W59" s="491"/>
      <c r="X59" s="491"/>
      <c r="Y59" s="491"/>
      <c r="Z59" s="491"/>
      <c r="AA59" s="491"/>
      <c r="AB59" s="491"/>
      <c r="AC59" s="491"/>
      <c r="AD59" s="491"/>
      <c r="AE59" s="491"/>
      <c r="AF59" s="491"/>
      <c r="AG59" s="491"/>
      <c r="AH59" s="193"/>
    </row>
    <row r="60" spans="1:34" x14ac:dyDescent="0.25">
      <c r="A60" s="193"/>
      <c r="B60" s="491"/>
      <c r="C60" s="500"/>
      <c r="D60" s="491"/>
      <c r="E60" s="491"/>
      <c r="F60" s="491"/>
      <c r="G60" s="491"/>
      <c r="H60" s="491"/>
      <c r="I60" s="491"/>
      <c r="J60" s="491"/>
      <c r="K60" s="491"/>
      <c r="L60" s="491"/>
      <c r="M60" s="491"/>
      <c r="N60" s="491"/>
      <c r="O60" s="491"/>
      <c r="P60" s="491"/>
      <c r="Q60" s="491"/>
      <c r="R60" s="217">
        <f>K58/12</f>
        <v>2.5</v>
      </c>
      <c r="S60" s="223"/>
      <c r="T60" s="195"/>
      <c r="U60" s="219"/>
      <c r="V60" s="491"/>
      <c r="W60" s="491"/>
      <c r="X60" s="491"/>
      <c r="Y60" s="491"/>
      <c r="Z60" s="491"/>
      <c r="AA60" s="491"/>
      <c r="AB60" s="491"/>
      <c r="AC60" s="491"/>
      <c r="AD60" s="491"/>
      <c r="AE60" s="491"/>
      <c r="AF60" s="491"/>
      <c r="AG60" s="491"/>
      <c r="AH60" s="193"/>
    </row>
    <row r="61" spans="1:34" ht="15.75" thickBot="1" x14ac:dyDescent="0.3">
      <c r="A61" s="193"/>
      <c r="B61" s="491"/>
      <c r="C61" s="500"/>
      <c r="D61" s="491"/>
      <c r="E61" s="491"/>
      <c r="F61" s="491"/>
      <c r="G61" s="491"/>
      <c r="H61" s="491"/>
      <c r="I61" s="491"/>
      <c r="J61" s="491"/>
      <c r="K61" s="491"/>
      <c r="L61" s="491"/>
      <c r="M61" s="491"/>
      <c r="N61" s="491"/>
      <c r="O61" s="491"/>
      <c r="P61" s="491"/>
      <c r="Q61" s="491"/>
      <c r="R61" s="213"/>
      <c r="S61" s="224"/>
      <c r="T61" s="220"/>
      <c r="U61" s="214"/>
      <c r="V61" s="491"/>
      <c r="W61" s="491"/>
      <c r="X61" s="491"/>
      <c r="Y61" s="491"/>
      <c r="Z61" s="491"/>
      <c r="AA61" s="491"/>
      <c r="AB61" s="491"/>
      <c r="AC61" s="491"/>
      <c r="AD61" s="491"/>
      <c r="AE61" s="491"/>
      <c r="AF61" s="491"/>
      <c r="AG61" s="491"/>
      <c r="AH61" s="193"/>
    </row>
    <row r="62" spans="1:34" x14ac:dyDescent="0.25">
      <c r="A62" s="193"/>
      <c r="B62" s="492"/>
      <c r="C62" s="501"/>
      <c r="D62" s="492"/>
      <c r="E62" s="492"/>
      <c r="F62" s="492"/>
      <c r="G62" s="492"/>
      <c r="H62" s="492"/>
      <c r="I62" s="492"/>
      <c r="J62" s="492"/>
      <c r="K62" s="492"/>
      <c r="L62" s="492"/>
      <c r="M62" s="492"/>
      <c r="N62" s="492"/>
      <c r="O62" s="492"/>
      <c r="P62" s="492"/>
      <c r="Q62" s="492"/>
      <c r="R62" s="221"/>
      <c r="S62" s="493">
        <f>L58/12</f>
        <v>2.5</v>
      </c>
      <c r="T62" s="493"/>
      <c r="U62" s="222"/>
      <c r="V62" s="492"/>
      <c r="W62" s="492"/>
      <c r="X62" s="492"/>
      <c r="Y62" s="492"/>
      <c r="Z62" s="492"/>
      <c r="AA62" s="492"/>
      <c r="AB62" s="492"/>
      <c r="AC62" s="492"/>
      <c r="AD62" s="492"/>
      <c r="AE62" s="492"/>
      <c r="AF62" s="492"/>
      <c r="AG62" s="492"/>
      <c r="AH62" s="193"/>
    </row>
    <row r="63" spans="1:34" x14ac:dyDescent="0.25">
      <c r="A63" s="193"/>
      <c r="B63" s="490"/>
      <c r="C63" s="490" t="s">
        <v>277</v>
      </c>
      <c r="D63" s="490">
        <v>5</v>
      </c>
      <c r="E63" s="490">
        <v>0.625</v>
      </c>
      <c r="F63" s="494">
        <v>16</v>
      </c>
      <c r="G63" s="229"/>
      <c r="H63" s="490"/>
      <c r="I63" s="490">
        <f>ROUNDUP(G53/F63,0)</f>
        <v>17</v>
      </c>
      <c r="J63" s="490">
        <v>1</v>
      </c>
      <c r="K63" s="490">
        <v>6</v>
      </c>
      <c r="L63" s="490">
        <f>4*12-2</f>
        <v>46</v>
      </c>
      <c r="M63" s="490">
        <f>11*12</f>
        <v>132</v>
      </c>
      <c r="N63" s="490"/>
      <c r="O63" s="490"/>
      <c r="P63" s="490"/>
      <c r="Q63" s="490"/>
      <c r="R63" s="213"/>
      <c r="S63" s="498"/>
      <c r="T63" s="498"/>
      <c r="U63" s="214"/>
      <c r="V63" s="490">
        <f>SUM(R63:U67)</f>
        <v>15.333333333333334</v>
      </c>
      <c r="W63" s="490">
        <f>+SUM(K63:Q67)</f>
        <v>184</v>
      </c>
      <c r="X63" s="490">
        <f>(+I63*J63*W63)/12</f>
        <v>260.66666666666669</v>
      </c>
      <c r="Y63" s="490">
        <f t="shared" ref="Y63:AF63" si="10">IF(Y$4=$D63,$X63*Y$5,0)</f>
        <v>0</v>
      </c>
      <c r="Z63" s="490">
        <f t="shared" si="10"/>
        <v>0</v>
      </c>
      <c r="AA63" s="490">
        <f t="shared" si="10"/>
        <v>271.87533333333334</v>
      </c>
      <c r="AB63" s="490">
        <f t="shared" si="10"/>
        <v>0</v>
      </c>
      <c r="AC63" s="490">
        <f t="shared" si="10"/>
        <v>0</v>
      </c>
      <c r="AD63" s="490">
        <f t="shared" si="10"/>
        <v>0</v>
      </c>
      <c r="AE63" s="490">
        <f t="shared" si="10"/>
        <v>0</v>
      </c>
      <c r="AF63" s="490">
        <f t="shared" si="10"/>
        <v>0</v>
      </c>
      <c r="AG63" s="490"/>
      <c r="AH63" s="193"/>
    </row>
    <row r="64" spans="1:34" x14ac:dyDescent="0.25">
      <c r="A64" s="193"/>
      <c r="B64" s="491"/>
      <c r="C64" s="491"/>
      <c r="D64" s="491"/>
      <c r="E64" s="491"/>
      <c r="F64" s="495"/>
      <c r="G64" s="230"/>
      <c r="H64" s="491"/>
      <c r="I64" s="491"/>
      <c r="J64" s="491"/>
      <c r="K64" s="491"/>
      <c r="L64" s="491"/>
      <c r="M64" s="491"/>
      <c r="N64" s="491"/>
      <c r="O64" s="491"/>
      <c r="P64" s="491"/>
      <c r="Q64" s="491"/>
      <c r="R64" s="213"/>
      <c r="S64" s="215"/>
      <c r="T64" s="216"/>
      <c r="U64" s="214"/>
      <c r="V64" s="491"/>
      <c r="W64" s="491"/>
      <c r="X64" s="491"/>
      <c r="Y64" s="491"/>
      <c r="Z64" s="491"/>
      <c r="AA64" s="491"/>
      <c r="AB64" s="491"/>
      <c r="AC64" s="491"/>
      <c r="AD64" s="491"/>
      <c r="AE64" s="491"/>
      <c r="AF64" s="491"/>
      <c r="AG64" s="491"/>
      <c r="AH64" s="193"/>
    </row>
    <row r="65" spans="1:34" x14ac:dyDescent="0.25">
      <c r="A65" s="193"/>
      <c r="B65" s="491"/>
      <c r="C65" s="491"/>
      <c r="D65" s="491"/>
      <c r="E65" s="491"/>
      <c r="F65" s="495"/>
      <c r="G65" s="230"/>
      <c r="H65" s="491"/>
      <c r="I65" s="491"/>
      <c r="J65" s="491"/>
      <c r="K65" s="491"/>
      <c r="L65" s="491"/>
      <c r="M65" s="491"/>
      <c r="N65" s="491"/>
      <c r="O65" s="491"/>
      <c r="P65" s="491"/>
      <c r="Q65" s="491"/>
      <c r="R65" s="225">
        <f>K63/12</f>
        <v>0.5</v>
      </c>
      <c r="S65" s="218"/>
      <c r="T65" s="218"/>
      <c r="U65" s="219"/>
      <c r="V65" s="491"/>
      <c r="W65" s="491"/>
      <c r="X65" s="491"/>
      <c r="Y65" s="491"/>
      <c r="Z65" s="491"/>
      <c r="AA65" s="491"/>
      <c r="AB65" s="491"/>
      <c r="AC65" s="491"/>
      <c r="AD65" s="491"/>
      <c r="AE65" s="491"/>
      <c r="AF65" s="491"/>
      <c r="AG65" s="491"/>
      <c r="AH65" s="193"/>
    </row>
    <row r="66" spans="1:34" ht="15.75" thickBot="1" x14ac:dyDescent="0.3">
      <c r="A66" s="193"/>
      <c r="B66" s="491"/>
      <c r="C66" s="491"/>
      <c r="D66" s="491"/>
      <c r="E66" s="491"/>
      <c r="F66" s="495"/>
      <c r="G66" s="230"/>
      <c r="H66" s="491"/>
      <c r="I66" s="491"/>
      <c r="J66" s="491"/>
      <c r="K66" s="491"/>
      <c r="L66" s="491"/>
      <c r="M66" s="491"/>
      <c r="N66" s="491"/>
      <c r="O66" s="491"/>
      <c r="P66" s="491"/>
      <c r="Q66" s="491"/>
      <c r="R66" s="226"/>
      <c r="S66" s="220"/>
      <c r="T66" s="220"/>
      <c r="U66" s="214"/>
      <c r="V66" s="491"/>
      <c r="W66" s="491"/>
      <c r="X66" s="491"/>
      <c r="Y66" s="491"/>
      <c r="Z66" s="491"/>
      <c r="AA66" s="491"/>
      <c r="AB66" s="491"/>
      <c r="AC66" s="491"/>
      <c r="AD66" s="491"/>
      <c r="AE66" s="491"/>
      <c r="AF66" s="491"/>
      <c r="AG66" s="491"/>
      <c r="AH66" s="193"/>
    </row>
    <row r="67" spans="1:34" x14ac:dyDescent="0.25">
      <c r="A67" s="193"/>
      <c r="B67" s="492"/>
      <c r="C67" s="492"/>
      <c r="D67" s="491"/>
      <c r="E67" s="491"/>
      <c r="F67" s="496"/>
      <c r="G67" s="231"/>
      <c r="H67" s="492"/>
      <c r="I67" s="492"/>
      <c r="J67" s="492"/>
      <c r="K67" s="492"/>
      <c r="L67" s="492"/>
      <c r="M67" s="492"/>
      <c r="N67" s="492"/>
      <c r="O67" s="492"/>
      <c r="P67" s="492"/>
      <c r="Q67" s="492"/>
      <c r="R67" s="221"/>
      <c r="S67" s="493">
        <f>+SUM(L63:M67)/12</f>
        <v>14.833333333333334</v>
      </c>
      <c r="T67" s="493"/>
      <c r="U67" s="222"/>
      <c r="V67" s="492"/>
      <c r="W67" s="492"/>
      <c r="X67" s="492"/>
      <c r="Y67" s="492"/>
      <c r="Z67" s="492"/>
      <c r="AA67" s="492"/>
      <c r="AB67" s="492"/>
      <c r="AC67" s="492"/>
      <c r="AD67" s="492"/>
      <c r="AE67" s="492"/>
      <c r="AF67" s="492"/>
      <c r="AG67" s="492"/>
      <c r="AH67" s="193"/>
    </row>
    <row r="68" spans="1:34" x14ac:dyDescent="0.25">
      <c r="A68" s="193"/>
      <c r="B68" s="490"/>
      <c r="C68" s="490" t="s">
        <v>286</v>
      </c>
      <c r="D68" s="490">
        <v>5</v>
      </c>
      <c r="E68" s="490">
        <v>0.625</v>
      </c>
      <c r="F68" s="494">
        <v>16</v>
      </c>
      <c r="G68" s="229"/>
      <c r="H68" s="490"/>
      <c r="I68" s="490">
        <f>ROUNDUP(M63/16,0)</f>
        <v>9</v>
      </c>
      <c r="J68" s="490">
        <v>1</v>
      </c>
      <c r="K68" s="490"/>
      <c r="L68" s="490">
        <f>G51-2-2</f>
        <v>256.04000000000002</v>
      </c>
      <c r="M68" s="490"/>
      <c r="N68" s="490"/>
      <c r="O68" s="490"/>
      <c r="P68" s="490"/>
      <c r="Q68" s="490"/>
      <c r="R68" s="213"/>
      <c r="S68" s="498"/>
      <c r="T68" s="498"/>
      <c r="U68" s="214"/>
      <c r="V68" s="490">
        <f>SUM(R68:U72)</f>
        <v>21.33666666666667</v>
      </c>
      <c r="W68" s="490">
        <f>+SUM(K68:Q72)</f>
        <v>256.04000000000002</v>
      </c>
      <c r="X68" s="490">
        <f>(+I68*J68*W68)/12</f>
        <v>192.03</v>
      </c>
      <c r="Y68" s="490">
        <f t="shared" ref="Y68:AF68" si="11">IF(Y$4=$D68,$X68*Y$5,0)</f>
        <v>0</v>
      </c>
      <c r="Z68" s="490">
        <f t="shared" si="11"/>
        <v>0</v>
      </c>
      <c r="AA68" s="490">
        <f t="shared" si="11"/>
        <v>200.28728999999998</v>
      </c>
      <c r="AB68" s="490">
        <f t="shared" si="11"/>
        <v>0</v>
      </c>
      <c r="AC68" s="490">
        <f t="shared" si="11"/>
        <v>0</v>
      </c>
      <c r="AD68" s="490">
        <f t="shared" si="11"/>
        <v>0</v>
      </c>
      <c r="AE68" s="490">
        <f t="shared" si="11"/>
        <v>0</v>
      </c>
      <c r="AF68" s="490">
        <f t="shared" si="11"/>
        <v>0</v>
      </c>
      <c r="AG68" s="490"/>
      <c r="AH68" s="193"/>
    </row>
    <row r="69" spans="1:34" x14ac:dyDescent="0.25">
      <c r="A69" s="193"/>
      <c r="B69" s="491"/>
      <c r="C69" s="491"/>
      <c r="D69" s="491"/>
      <c r="E69" s="491"/>
      <c r="F69" s="495"/>
      <c r="G69" s="230"/>
      <c r="H69" s="491"/>
      <c r="I69" s="491"/>
      <c r="J69" s="491"/>
      <c r="K69" s="491"/>
      <c r="L69" s="491"/>
      <c r="M69" s="491"/>
      <c r="N69" s="491"/>
      <c r="O69" s="491"/>
      <c r="P69" s="491"/>
      <c r="Q69" s="491"/>
      <c r="R69" s="213"/>
      <c r="S69" s="215"/>
      <c r="T69" s="216"/>
      <c r="U69" s="214"/>
      <c r="V69" s="491"/>
      <c r="W69" s="491"/>
      <c r="X69" s="491"/>
      <c r="Y69" s="491"/>
      <c r="Z69" s="491"/>
      <c r="AA69" s="491"/>
      <c r="AB69" s="491"/>
      <c r="AC69" s="491"/>
      <c r="AD69" s="491"/>
      <c r="AE69" s="491"/>
      <c r="AF69" s="491"/>
      <c r="AG69" s="491"/>
      <c r="AH69" s="193"/>
    </row>
    <row r="70" spans="1:34" x14ac:dyDescent="0.25">
      <c r="A70" s="193"/>
      <c r="B70" s="491"/>
      <c r="C70" s="491"/>
      <c r="D70" s="491"/>
      <c r="E70" s="491"/>
      <c r="F70" s="495"/>
      <c r="G70" s="230"/>
      <c r="H70" s="491"/>
      <c r="I70" s="491"/>
      <c r="J70" s="491"/>
      <c r="K70" s="491"/>
      <c r="L70" s="491"/>
      <c r="M70" s="491"/>
      <c r="N70" s="491"/>
      <c r="O70" s="491"/>
      <c r="P70" s="491"/>
      <c r="Q70" s="497"/>
      <c r="R70" s="217"/>
      <c r="S70" s="218"/>
      <c r="T70" s="218"/>
      <c r="U70" s="219"/>
      <c r="V70" s="491"/>
      <c r="W70" s="491"/>
      <c r="X70" s="491"/>
      <c r="Y70" s="491"/>
      <c r="Z70" s="491"/>
      <c r="AA70" s="491"/>
      <c r="AB70" s="491"/>
      <c r="AC70" s="491"/>
      <c r="AD70" s="491"/>
      <c r="AE70" s="491"/>
      <c r="AF70" s="491"/>
      <c r="AG70" s="491"/>
      <c r="AH70" s="193"/>
    </row>
    <row r="71" spans="1:34" ht="15.75" thickBot="1" x14ac:dyDescent="0.3">
      <c r="A71" s="193"/>
      <c r="B71" s="491"/>
      <c r="C71" s="491"/>
      <c r="D71" s="491"/>
      <c r="E71" s="491"/>
      <c r="F71" s="495"/>
      <c r="G71" s="230"/>
      <c r="H71" s="491"/>
      <c r="I71" s="491"/>
      <c r="J71" s="491"/>
      <c r="K71" s="491"/>
      <c r="L71" s="491"/>
      <c r="M71" s="491"/>
      <c r="N71" s="491"/>
      <c r="O71" s="491"/>
      <c r="P71" s="491"/>
      <c r="Q71" s="497"/>
      <c r="R71" s="213"/>
      <c r="S71" s="220"/>
      <c r="T71" s="220"/>
      <c r="U71" s="214"/>
      <c r="V71" s="491"/>
      <c r="W71" s="491"/>
      <c r="X71" s="491"/>
      <c r="Y71" s="491"/>
      <c r="Z71" s="491"/>
      <c r="AA71" s="491"/>
      <c r="AB71" s="491"/>
      <c r="AC71" s="491"/>
      <c r="AD71" s="491"/>
      <c r="AE71" s="491"/>
      <c r="AF71" s="491"/>
      <c r="AG71" s="491"/>
      <c r="AH71" s="193"/>
    </row>
    <row r="72" spans="1:34" x14ac:dyDescent="0.25">
      <c r="A72" s="193"/>
      <c r="B72" s="492"/>
      <c r="C72" s="492"/>
      <c r="D72" s="491"/>
      <c r="E72" s="491"/>
      <c r="F72" s="496"/>
      <c r="G72" s="231"/>
      <c r="H72" s="492"/>
      <c r="I72" s="492"/>
      <c r="J72" s="492"/>
      <c r="K72" s="492"/>
      <c r="L72" s="492"/>
      <c r="M72" s="492"/>
      <c r="N72" s="492"/>
      <c r="O72" s="492"/>
      <c r="P72" s="492"/>
      <c r="Q72" s="492"/>
      <c r="R72" s="221"/>
      <c r="S72" s="493">
        <f>L68/12</f>
        <v>21.33666666666667</v>
      </c>
      <c r="T72" s="493"/>
      <c r="U72" s="222"/>
      <c r="V72" s="492"/>
      <c r="W72" s="492"/>
      <c r="X72" s="492"/>
      <c r="Y72" s="492"/>
      <c r="Z72" s="492"/>
      <c r="AA72" s="492"/>
      <c r="AB72" s="492"/>
      <c r="AC72" s="492"/>
      <c r="AD72" s="492"/>
      <c r="AE72" s="492"/>
      <c r="AF72" s="492"/>
      <c r="AG72" s="492"/>
      <c r="AH72" s="193"/>
    </row>
    <row r="73" spans="1:34" ht="15.75" thickBot="1" x14ac:dyDescent="0.3">
      <c r="A73" s="195"/>
      <c r="B73" s="200" t="s">
        <v>288</v>
      </c>
      <c r="C73" s="199" t="s">
        <v>264</v>
      </c>
      <c r="D73" s="197">
        <v>60</v>
      </c>
      <c r="E73" s="201">
        <v>8</v>
      </c>
      <c r="F73" s="202"/>
      <c r="G73" s="202">
        <f>8.97*12</f>
        <v>107.64000000000001</v>
      </c>
      <c r="H73" s="202">
        <v>20</v>
      </c>
      <c r="I73" s="202">
        <v>12</v>
      </c>
      <c r="J73" s="202">
        <v>12</v>
      </c>
      <c r="K73" s="199"/>
      <c r="L73" s="199"/>
      <c r="M73" s="199"/>
      <c r="N73" s="199"/>
      <c r="O73" s="199"/>
      <c r="P73" s="199"/>
      <c r="Q73" s="198"/>
      <c r="R73" s="196"/>
      <c r="S73" s="196"/>
      <c r="T73" s="196"/>
      <c r="U73" s="196"/>
      <c r="V73" s="203"/>
      <c r="W73" s="202"/>
      <c r="X73" s="202"/>
      <c r="Y73" s="199"/>
      <c r="Z73" s="199"/>
      <c r="AA73" s="199"/>
      <c r="AB73" s="199"/>
      <c r="AC73" s="199"/>
      <c r="AD73" s="199"/>
      <c r="AE73" s="199"/>
      <c r="AF73" s="199"/>
      <c r="AG73" s="199"/>
      <c r="AH73" s="195"/>
    </row>
    <row r="74" spans="1:34" ht="15.75" thickBot="1" x14ac:dyDescent="0.3">
      <c r="A74" s="193"/>
      <c r="B74" s="204"/>
      <c r="C74" s="205"/>
      <c r="D74" s="194"/>
      <c r="E74" s="206"/>
      <c r="F74" s="205"/>
      <c r="G74" s="205"/>
      <c r="H74" s="207">
        <v>3</v>
      </c>
      <c r="I74" s="207">
        <v>2</v>
      </c>
      <c r="J74" s="205"/>
      <c r="K74" s="205"/>
      <c r="L74" s="205"/>
      <c r="M74" s="205"/>
      <c r="N74" s="205"/>
      <c r="O74" s="205"/>
      <c r="P74" s="205"/>
      <c r="Q74" s="208"/>
      <c r="R74" s="209"/>
      <c r="S74" s="210"/>
      <c r="T74" s="210"/>
      <c r="U74" s="211"/>
      <c r="V74" s="212"/>
      <c r="W74" s="204"/>
      <c r="X74" s="204"/>
      <c r="Y74" s="205"/>
      <c r="Z74" s="205"/>
      <c r="AA74" s="205"/>
      <c r="AB74" s="205"/>
      <c r="AC74" s="205"/>
      <c r="AD74" s="205"/>
      <c r="AE74" s="205"/>
      <c r="AF74" s="205"/>
      <c r="AG74" s="205"/>
      <c r="AH74" s="193"/>
    </row>
    <row r="75" spans="1:34" x14ac:dyDescent="0.25">
      <c r="A75" s="193"/>
      <c r="B75" s="490"/>
      <c r="C75" s="499" t="s">
        <v>265</v>
      </c>
      <c r="D75" s="490">
        <v>5</v>
      </c>
      <c r="E75" s="490">
        <v>0.625</v>
      </c>
      <c r="F75" s="490"/>
      <c r="G75" s="490">
        <f>G73</f>
        <v>107.64000000000001</v>
      </c>
      <c r="H75" s="490"/>
      <c r="I75" s="490">
        <v>2</v>
      </c>
      <c r="J75" s="490">
        <v>1</v>
      </c>
      <c r="K75" s="490"/>
      <c r="L75" s="490">
        <f>G73-2-2</f>
        <v>103.64000000000001</v>
      </c>
      <c r="M75" s="490"/>
      <c r="N75" s="490"/>
      <c r="O75" s="490"/>
      <c r="P75" s="490"/>
      <c r="Q75" s="490"/>
      <c r="R75" s="213"/>
      <c r="S75" s="502"/>
      <c r="T75" s="502"/>
      <c r="U75" s="214"/>
      <c r="V75" s="490">
        <f>SUM(R75:U79)</f>
        <v>8.6366666666666685</v>
      </c>
      <c r="W75" s="490">
        <f>+SUM(K75:Q79)</f>
        <v>103.64000000000001</v>
      </c>
      <c r="X75" s="490">
        <f>(+I75*J75*W75)/12</f>
        <v>17.273333333333337</v>
      </c>
      <c r="Y75" s="490">
        <f>IF(Y$4=$D75,$X75*Y$5,0)</f>
        <v>0</v>
      </c>
      <c r="Z75" s="490">
        <f t="shared" ref="Z75:AF75" si="12">IF(Z$4=$D75,$X75*Z$5,0)</f>
        <v>0</v>
      </c>
      <c r="AA75" s="490">
        <f t="shared" si="12"/>
        <v>18.01608666666667</v>
      </c>
      <c r="AB75" s="490">
        <f t="shared" si="12"/>
        <v>0</v>
      </c>
      <c r="AC75" s="490">
        <f t="shared" si="12"/>
        <v>0</v>
      </c>
      <c r="AD75" s="490">
        <f t="shared" si="12"/>
        <v>0</v>
      </c>
      <c r="AE75" s="490">
        <f t="shared" si="12"/>
        <v>0</v>
      </c>
      <c r="AF75" s="490">
        <f t="shared" si="12"/>
        <v>0</v>
      </c>
      <c r="AG75" s="490"/>
      <c r="AH75" s="193"/>
    </row>
    <row r="76" spans="1:34" x14ac:dyDescent="0.25">
      <c r="A76" s="193"/>
      <c r="B76" s="491"/>
      <c r="C76" s="500"/>
      <c r="D76" s="491"/>
      <c r="E76" s="491"/>
      <c r="F76" s="491"/>
      <c r="G76" s="491"/>
      <c r="H76" s="491"/>
      <c r="I76" s="491"/>
      <c r="J76" s="491"/>
      <c r="K76" s="491"/>
      <c r="L76" s="491"/>
      <c r="M76" s="491"/>
      <c r="N76" s="491"/>
      <c r="O76" s="491"/>
      <c r="P76" s="491"/>
      <c r="Q76" s="491"/>
      <c r="R76" s="213"/>
      <c r="S76" s="215"/>
      <c r="T76" s="216"/>
      <c r="U76" s="214"/>
      <c r="V76" s="491"/>
      <c r="W76" s="491"/>
      <c r="X76" s="491"/>
      <c r="Y76" s="491"/>
      <c r="Z76" s="491"/>
      <c r="AA76" s="491"/>
      <c r="AB76" s="491"/>
      <c r="AC76" s="491"/>
      <c r="AD76" s="491"/>
      <c r="AE76" s="491"/>
      <c r="AF76" s="491"/>
      <c r="AG76" s="491"/>
      <c r="AH76" s="193"/>
    </row>
    <row r="77" spans="1:34" x14ac:dyDescent="0.25">
      <c r="A77" s="193"/>
      <c r="B77" s="491"/>
      <c r="C77" s="500"/>
      <c r="D77" s="491"/>
      <c r="E77" s="491"/>
      <c r="F77" s="491"/>
      <c r="G77" s="491"/>
      <c r="H77" s="491"/>
      <c r="I77" s="491"/>
      <c r="J77" s="491"/>
      <c r="K77" s="491"/>
      <c r="L77" s="491"/>
      <c r="M77" s="491"/>
      <c r="N77" s="491"/>
      <c r="O77" s="491"/>
      <c r="P77" s="491"/>
      <c r="Q77" s="491"/>
      <c r="R77" s="217"/>
      <c r="S77" s="218"/>
      <c r="T77" s="218"/>
      <c r="U77" s="219"/>
      <c r="V77" s="491"/>
      <c r="W77" s="491"/>
      <c r="X77" s="491"/>
      <c r="Y77" s="491"/>
      <c r="Z77" s="491"/>
      <c r="AA77" s="491"/>
      <c r="AB77" s="491"/>
      <c r="AC77" s="491"/>
      <c r="AD77" s="491"/>
      <c r="AE77" s="491"/>
      <c r="AF77" s="491"/>
      <c r="AG77" s="491"/>
      <c r="AH77" s="193"/>
    </row>
    <row r="78" spans="1:34" ht="15.75" thickBot="1" x14ac:dyDescent="0.3">
      <c r="A78" s="193"/>
      <c r="B78" s="491"/>
      <c r="C78" s="500"/>
      <c r="D78" s="491"/>
      <c r="E78" s="491"/>
      <c r="F78" s="491"/>
      <c r="G78" s="491"/>
      <c r="H78" s="491"/>
      <c r="I78" s="491"/>
      <c r="J78" s="491"/>
      <c r="K78" s="491"/>
      <c r="L78" s="491"/>
      <c r="M78" s="491"/>
      <c r="N78" s="491"/>
      <c r="O78" s="491"/>
      <c r="P78" s="491"/>
      <c r="Q78" s="491"/>
      <c r="R78" s="213"/>
      <c r="S78" s="220"/>
      <c r="T78" s="220"/>
      <c r="U78" s="214"/>
      <c r="V78" s="491"/>
      <c r="W78" s="491"/>
      <c r="X78" s="491"/>
      <c r="Y78" s="491"/>
      <c r="Z78" s="491"/>
      <c r="AA78" s="491"/>
      <c r="AB78" s="491"/>
      <c r="AC78" s="491"/>
      <c r="AD78" s="491"/>
      <c r="AE78" s="491"/>
      <c r="AF78" s="491"/>
      <c r="AG78" s="491"/>
      <c r="AH78" s="193"/>
    </row>
    <row r="79" spans="1:34" x14ac:dyDescent="0.25">
      <c r="A79" s="193"/>
      <c r="B79" s="492"/>
      <c r="C79" s="501"/>
      <c r="D79" s="492"/>
      <c r="E79" s="492"/>
      <c r="F79" s="492"/>
      <c r="G79" s="492"/>
      <c r="H79" s="492"/>
      <c r="I79" s="492"/>
      <c r="J79" s="492"/>
      <c r="K79" s="492"/>
      <c r="L79" s="492"/>
      <c r="M79" s="492"/>
      <c r="N79" s="492"/>
      <c r="O79" s="492"/>
      <c r="P79" s="492"/>
      <c r="Q79" s="492"/>
      <c r="R79" s="221"/>
      <c r="S79" s="493">
        <f>L75/12</f>
        <v>8.6366666666666685</v>
      </c>
      <c r="T79" s="493"/>
      <c r="U79" s="222"/>
      <c r="V79" s="492"/>
      <c r="W79" s="492"/>
      <c r="X79" s="492"/>
      <c r="Y79" s="492"/>
      <c r="Z79" s="492"/>
      <c r="AA79" s="492"/>
      <c r="AB79" s="492"/>
      <c r="AC79" s="492"/>
      <c r="AD79" s="492"/>
      <c r="AE79" s="492"/>
      <c r="AF79" s="492"/>
      <c r="AG79" s="492"/>
      <c r="AH79" s="193"/>
    </row>
    <row r="80" spans="1:34" x14ac:dyDescent="0.25">
      <c r="A80" s="193"/>
      <c r="B80" s="490"/>
      <c r="C80" s="499" t="s">
        <v>271</v>
      </c>
      <c r="D80" s="490">
        <v>5</v>
      </c>
      <c r="E80" s="490">
        <v>0.625</v>
      </c>
      <c r="F80" s="490"/>
      <c r="G80" s="490"/>
      <c r="H80" s="490"/>
      <c r="I80" s="490">
        <v>2</v>
      </c>
      <c r="J80" s="490">
        <v>2</v>
      </c>
      <c r="K80" s="490">
        <v>30</v>
      </c>
      <c r="L80" s="490">
        <v>30</v>
      </c>
      <c r="M80" s="490"/>
      <c r="N80" s="490"/>
      <c r="O80" s="490"/>
      <c r="P80" s="490"/>
      <c r="Q80" s="490"/>
      <c r="R80" s="213"/>
      <c r="S80" s="498"/>
      <c r="T80" s="498"/>
      <c r="U80" s="214"/>
      <c r="V80" s="490">
        <f>SUM(R80:U84)</f>
        <v>5</v>
      </c>
      <c r="W80" s="490">
        <f>+SUM(K80:Q84)</f>
        <v>60</v>
      </c>
      <c r="X80" s="490">
        <f>(+I80*J80*W80)/12</f>
        <v>20</v>
      </c>
      <c r="Y80" s="490">
        <f t="shared" ref="Y80:AF80" si="13">IF(Y$4=$D80,$X80*Y$5,0)</f>
        <v>0</v>
      </c>
      <c r="Z80" s="490">
        <f t="shared" si="13"/>
        <v>0</v>
      </c>
      <c r="AA80" s="490">
        <f t="shared" si="13"/>
        <v>20.86</v>
      </c>
      <c r="AB80" s="490">
        <f t="shared" si="13"/>
        <v>0</v>
      </c>
      <c r="AC80" s="490">
        <f t="shared" si="13"/>
        <v>0</v>
      </c>
      <c r="AD80" s="490">
        <f t="shared" si="13"/>
        <v>0</v>
      </c>
      <c r="AE80" s="490">
        <f t="shared" si="13"/>
        <v>0</v>
      </c>
      <c r="AF80" s="490">
        <f t="shared" si="13"/>
        <v>0</v>
      </c>
      <c r="AG80" s="490"/>
      <c r="AH80" s="193"/>
    </row>
    <row r="81" spans="1:34" x14ac:dyDescent="0.25">
      <c r="A81" s="193"/>
      <c r="B81" s="491"/>
      <c r="C81" s="500"/>
      <c r="D81" s="491"/>
      <c r="E81" s="491"/>
      <c r="F81" s="491"/>
      <c r="G81" s="491"/>
      <c r="H81" s="491"/>
      <c r="I81" s="491"/>
      <c r="J81" s="491"/>
      <c r="K81" s="491"/>
      <c r="L81" s="491"/>
      <c r="M81" s="491"/>
      <c r="N81" s="491"/>
      <c r="O81" s="491"/>
      <c r="P81" s="491"/>
      <c r="Q81" s="491"/>
      <c r="R81" s="213"/>
      <c r="S81" s="215"/>
      <c r="T81" s="216"/>
      <c r="U81" s="214"/>
      <c r="V81" s="491"/>
      <c r="W81" s="491"/>
      <c r="X81" s="491"/>
      <c r="Y81" s="491"/>
      <c r="Z81" s="491"/>
      <c r="AA81" s="491"/>
      <c r="AB81" s="491"/>
      <c r="AC81" s="491"/>
      <c r="AD81" s="491"/>
      <c r="AE81" s="491"/>
      <c r="AF81" s="491"/>
      <c r="AG81" s="491"/>
      <c r="AH81" s="193"/>
    </row>
    <row r="82" spans="1:34" x14ac:dyDescent="0.25">
      <c r="A82" s="193"/>
      <c r="B82" s="491"/>
      <c r="C82" s="500"/>
      <c r="D82" s="491"/>
      <c r="E82" s="491"/>
      <c r="F82" s="491"/>
      <c r="G82" s="491"/>
      <c r="H82" s="491"/>
      <c r="I82" s="491"/>
      <c r="J82" s="491"/>
      <c r="K82" s="491"/>
      <c r="L82" s="491"/>
      <c r="M82" s="491"/>
      <c r="N82" s="491"/>
      <c r="O82" s="491"/>
      <c r="P82" s="491"/>
      <c r="Q82" s="491"/>
      <c r="R82" s="217">
        <f>K80/12</f>
        <v>2.5</v>
      </c>
      <c r="S82" s="223"/>
      <c r="T82" s="195"/>
      <c r="U82" s="219"/>
      <c r="V82" s="491"/>
      <c r="W82" s="491"/>
      <c r="X82" s="491"/>
      <c r="Y82" s="491"/>
      <c r="Z82" s="491"/>
      <c r="AA82" s="491"/>
      <c r="AB82" s="491"/>
      <c r="AC82" s="491"/>
      <c r="AD82" s="491"/>
      <c r="AE82" s="491"/>
      <c r="AF82" s="491"/>
      <c r="AG82" s="491"/>
      <c r="AH82" s="193"/>
    </row>
    <row r="83" spans="1:34" ht="15.75" thickBot="1" x14ac:dyDescent="0.3">
      <c r="A83" s="193"/>
      <c r="B83" s="491"/>
      <c r="C83" s="500"/>
      <c r="D83" s="491"/>
      <c r="E83" s="491"/>
      <c r="F83" s="491"/>
      <c r="G83" s="491"/>
      <c r="H83" s="491"/>
      <c r="I83" s="491"/>
      <c r="J83" s="491"/>
      <c r="K83" s="491"/>
      <c r="L83" s="491"/>
      <c r="M83" s="491"/>
      <c r="N83" s="491"/>
      <c r="O83" s="491"/>
      <c r="P83" s="491"/>
      <c r="Q83" s="491"/>
      <c r="R83" s="213"/>
      <c r="S83" s="224"/>
      <c r="T83" s="220"/>
      <c r="U83" s="214"/>
      <c r="V83" s="491"/>
      <c r="W83" s="491"/>
      <c r="X83" s="491"/>
      <c r="Y83" s="491"/>
      <c r="Z83" s="491"/>
      <c r="AA83" s="491"/>
      <c r="AB83" s="491"/>
      <c r="AC83" s="491"/>
      <c r="AD83" s="491"/>
      <c r="AE83" s="491"/>
      <c r="AF83" s="491"/>
      <c r="AG83" s="491"/>
      <c r="AH83" s="193"/>
    </row>
    <row r="84" spans="1:34" x14ac:dyDescent="0.25">
      <c r="A84" s="193"/>
      <c r="B84" s="492"/>
      <c r="C84" s="501"/>
      <c r="D84" s="492"/>
      <c r="E84" s="492"/>
      <c r="F84" s="492"/>
      <c r="G84" s="492"/>
      <c r="H84" s="492"/>
      <c r="I84" s="492"/>
      <c r="J84" s="492"/>
      <c r="K84" s="492"/>
      <c r="L84" s="492"/>
      <c r="M84" s="492"/>
      <c r="N84" s="492"/>
      <c r="O84" s="492"/>
      <c r="P84" s="492"/>
      <c r="Q84" s="492"/>
      <c r="R84" s="221"/>
      <c r="S84" s="493">
        <f>L80/12</f>
        <v>2.5</v>
      </c>
      <c r="T84" s="493"/>
      <c r="U84" s="222"/>
      <c r="V84" s="492"/>
      <c r="W84" s="492"/>
      <c r="X84" s="492"/>
      <c r="Y84" s="492"/>
      <c r="Z84" s="492"/>
      <c r="AA84" s="492"/>
      <c r="AB84" s="492"/>
      <c r="AC84" s="492"/>
      <c r="AD84" s="492"/>
      <c r="AE84" s="492"/>
      <c r="AF84" s="492"/>
      <c r="AG84" s="492"/>
      <c r="AH84" s="193"/>
    </row>
    <row r="85" spans="1:34" x14ac:dyDescent="0.25">
      <c r="A85" s="193"/>
      <c r="B85" s="490"/>
      <c r="C85" s="490" t="s">
        <v>277</v>
      </c>
      <c r="D85" s="490">
        <v>5</v>
      </c>
      <c r="E85" s="490">
        <v>0.625</v>
      </c>
      <c r="F85" s="494">
        <v>16</v>
      </c>
      <c r="G85" s="229"/>
      <c r="H85" s="490"/>
      <c r="I85" s="490">
        <f>ROUNDUP(G75/F85,0)</f>
        <v>7</v>
      </c>
      <c r="J85" s="490">
        <v>1</v>
      </c>
      <c r="K85" s="490">
        <v>6</v>
      </c>
      <c r="L85" s="490">
        <f>4*12-2</f>
        <v>46</v>
      </c>
      <c r="M85" s="490">
        <f>11*12</f>
        <v>132</v>
      </c>
      <c r="N85" s="490"/>
      <c r="O85" s="490"/>
      <c r="P85" s="490"/>
      <c r="Q85" s="490"/>
      <c r="R85" s="213"/>
      <c r="S85" s="498"/>
      <c r="T85" s="498"/>
      <c r="U85" s="214"/>
      <c r="V85" s="490">
        <f>SUM(R85:U89)</f>
        <v>15.333333333333334</v>
      </c>
      <c r="W85" s="490">
        <f>+SUM(K85:Q89)</f>
        <v>184</v>
      </c>
      <c r="X85" s="490">
        <f>(+I85*J85*W85)/12</f>
        <v>107.33333333333333</v>
      </c>
      <c r="Y85" s="490">
        <f t="shared" ref="Y85:AF85" si="14">IF(Y$4=$D85,$X85*Y$5,0)</f>
        <v>0</v>
      </c>
      <c r="Z85" s="490">
        <f t="shared" si="14"/>
        <v>0</v>
      </c>
      <c r="AA85" s="490">
        <f t="shared" si="14"/>
        <v>111.94866666666665</v>
      </c>
      <c r="AB85" s="490">
        <f t="shared" si="14"/>
        <v>0</v>
      </c>
      <c r="AC85" s="490">
        <f t="shared" si="14"/>
        <v>0</v>
      </c>
      <c r="AD85" s="490">
        <f t="shared" si="14"/>
        <v>0</v>
      </c>
      <c r="AE85" s="490">
        <f t="shared" si="14"/>
        <v>0</v>
      </c>
      <c r="AF85" s="490">
        <f t="shared" si="14"/>
        <v>0</v>
      </c>
      <c r="AG85" s="490"/>
      <c r="AH85" s="193"/>
    </row>
    <row r="86" spans="1:34" x14ac:dyDescent="0.25">
      <c r="A86" s="193"/>
      <c r="B86" s="491"/>
      <c r="C86" s="491"/>
      <c r="D86" s="491"/>
      <c r="E86" s="491"/>
      <c r="F86" s="495"/>
      <c r="G86" s="230"/>
      <c r="H86" s="491"/>
      <c r="I86" s="491"/>
      <c r="J86" s="491"/>
      <c r="K86" s="491"/>
      <c r="L86" s="491"/>
      <c r="M86" s="491"/>
      <c r="N86" s="491"/>
      <c r="O86" s="491"/>
      <c r="P86" s="491"/>
      <c r="Q86" s="491"/>
      <c r="R86" s="213"/>
      <c r="S86" s="215"/>
      <c r="T86" s="216"/>
      <c r="U86" s="214"/>
      <c r="V86" s="491"/>
      <c r="W86" s="491"/>
      <c r="X86" s="491"/>
      <c r="Y86" s="491"/>
      <c r="Z86" s="491"/>
      <c r="AA86" s="491"/>
      <c r="AB86" s="491"/>
      <c r="AC86" s="491"/>
      <c r="AD86" s="491"/>
      <c r="AE86" s="491"/>
      <c r="AF86" s="491"/>
      <c r="AG86" s="491"/>
      <c r="AH86" s="193"/>
    </row>
    <row r="87" spans="1:34" x14ac:dyDescent="0.25">
      <c r="A87" s="193"/>
      <c r="B87" s="491"/>
      <c r="C87" s="491"/>
      <c r="D87" s="491"/>
      <c r="E87" s="491"/>
      <c r="F87" s="495"/>
      <c r="G87" s="230"/>
      <c r="H87" s="491"/>
      <c r="I87" s="491"/>
      <c r="J87" s="491"/>
      <c r="K87" s="491"/>
      <c r="L87" s="491"/>
      <c r="M87" s="491"/>
      <c r="N87" s="491"/>
      <c r="O87" s="491"/>
      <c r="P87" s="491"/>
      <c r="Q87" s="491"/>
      <c r="R87" s="225">
        <f>K85/12</f>
        <v>0.5</v>
      </c>
      <c r="S87" s="218"/>
      <c r="T87" s="218"/>
      <c r="U87" s="219"/>
      <c r="V87" s="491"/>
      <c r="W87" s="491"/>
      <c r="X87" s="491"/>
      <c r="Y87" s="491"/>
      <c r="Z87" s="491"/>
      <c r="AA87" s="491"/>
      <c r="AB87" s="491"/>
      <c r="AC87" s="491"/>
      <c r="AD87" s="491"/>
      <c r="AE87" s="491"/>
      <c r="AF87" s="491"/>
      <c r="AG87" s="491"/>
      <c r="AH87" s="193"/>
    </row>
    <row r="88" spans="1:34" ht="15.75" thickBot="1" x14ac:dyDescent="0.3">
      <c r="A88" s="193"/>
      <c r="B88" s="491"/>
      <c r="C88" s="491"/>
      <c r="D88" s="491"/>
      <c r="E88" s="491"/>
      <c r="F88" s="495"/>
      <c r="G88" s="230"/>
      <c r="H88" s="491"/>
      <c r="I88" s="491"/>
      <c r="J88" s="491"/>
      <c r="K88" s="491"/>
      <c r="L88" s="491"/>
      <c r="M88" s="491"/>
      <c r="N88" s="491"/>
      <c r="O88" s="491"/>
      <c r="P88" s="491"/>
      <c r="Q88" s="491"/>
      <c r="R88" s="226"/>
      <c r="S88" s="220"/>
      <c r="T88" s="220"/>
      <c r="U88" s="214"/>
      <c r="V88" s="491"/>
      <c r="W88" s="491"/>
      <c r="X88" s="491"/>
      <c r="Y88" s="491"/>
      <c r="Z88" s="491"/>
      <c r="AA88" s="491"/>
      <c r="AB88" s="491"/>
      <c r="AC88" s="491"/>
      <c r="AD88" s="491"/>
      <c r="AE88" s="491"/>
      <c r="AF88" s="491"/>
      <c r="AG88" s="491"/>
      <c r="AH88" s="193"/>
    </row>
    <row r="89" spans="1:34" x14ac:dyDescent="0.25">
      <c r="A89" s="193"/>
      <c r="B89" s="492"/>
      <c r="C89" s="492"/>
      <c r="D89" s="491"/>
      <c r="E89" s="491"/>
      <c r="F89" s="496"/>
      <c r="G89" s="231"/>
      <c r="H89" s="492"/>
      <c r="I89" s="492"/>
      <c r="J89" s="492"/>
      <c r="K89" s="492"/>
      <c r="L89" s="492"/>
      <c r="M89" s="492"/>
      <c r="N89" s="492"/>
      <c r="O89" s="492"/>
      <c r="P89" s="492"/>
      <c r="Q89" s="492"/>
      <c r="R89" s="221"/>
      <c r="S89" s="493">
        <f>+SUM(L85:M89)/12</f>
        <v>14.833333333333334</v>
      </c>
      <c r="T89" s="493"/>
      <c r="U89" s="222"/>
      <c r="V89" s="492"/>
      <c r="W89" s="492"/>
      <c r="X89" s="492"/>
      <c r="Y89" s="492"/>
      <c r="Z89" s="492"/>
      <c r="AA89" s="492"/>
      <c r="AB89" s="492"/>
      <c r="AC89" s="492"/>
      <c r="AD89" s="492"/>
      <c r="AE89" s="492"/>
      <c r="AF89" s="492"/>
      <c r="AG89" s="492"/>
      <c r="AH89" s="193"/>
    </row>
    <row r="90" spans="1:34" x14ac:dyDescent="0.25">
      <c r="A90" s="193"/>
      <c r="B90" s="490"/>
      <c r="C90" s="490" t="s">
        <v>286</v>
      </c>
      <c r="D90" s="490">
        <v>5</v>
      </c>
      <c r="E90" s="490">
        <v>0.625</v>
      </c>
      <c r="F90" s="494">
        <v>16</v>
      </c>
      <c r="G90" s="229"/>
      <c r="H90" s="490"/>
      <c r="I90" s="490">
        <f>ROUNDUP(M85/16,0)</f>
        <v>9</v>
      </c>
      <c r="J90" s="490">
        <v>1</v>
      </c>
      <c r="K90" s="490"/>
      <c r="L90" s="490">
        <f>G73-2-2</f>
        <v>103.64000000000001</v>
      </c>
      <c r="M90" s="490"/>
      <c r="N90" s="490"/>
      <c r="O90" s="490"/>
      <c r="P90" s="490"/>
      <c r="Q90" s="490"/>
      <c r="R90" s="213"/>
      <c r="S90" s="498"/>
      <c r="T90" s="498"/>
      <c r="U90" s="214"/>
      <c r="V90" s="490">
        <f>SUM(R90:U94)</f>
        <v>8.6366666666666685</v>
      </c>
      <c r="W90" s="490">
        <f>+SUM(K90:Q94)</f>
        <v>103.64000000000001</v>
      </c>
      <c r="X90" s="490">
        <f>(+I90*J90*W90)/12</f>
        <v>77.73</v>
      </c>
      <c r="Y90" s="490">
        <f t="shared" ref="Y90:AF90" si="15">IF(Y$4=$D90,$X90*Y$5,0)</f>
        <v>0</v>
      </c>
      <c r="Z90" s="490">
        <f t="shared" si="15"/>
        <v>0</v>
      </c>
      <c r="AA90" s="490">
        <f t="shared" si="15"/>
        <v>81.072389999999999</v>
      </c>
      <c r="AB90" s="490">
        <f t="shared" si="15"/>
        <v>0</v>
      </c>
      <c r="AC90" s="490">
        <f t="shared" si="15"/>
        <v>0</v>
      </c>
      <c r="AD90" s="490">
        <f t="shared" si="15"/>
        <v>0</v>
      </c>
      <c r="AE90" s="490">
        <f t="shared" si="15"/>
        <v>0</v>
      </c>
      <c r="AF90" s="490">
        <f t="shared" si="15"/>
        <v>0</v>
      </c>
      <c r="AG90" s="490"/>
      <c r="AH90" s="193"/>
    </row>
    <row r="91" spans="1:34" x14ac:dyDescent="0.25">
      <c r="A91" s="193"/>
      <c r="B91" s="491"/>
      <c r="C91" s="491"/>
      <c r="D91" s="491"/>
      <c r="E91" s="491"/>
      <c r="F91" s="495"/>
      <c r="G91" s="230"/>
      <c r="H91" s="491"/>
      <c r="I91" s="491"/>
      <c r="J91" s="491"/>
      <c r="K91" s="491"/>
      <c r="L91" s="491"/>
      <c r="M91" s="491"/>
      <c r="N91" s="491"/>
      <c r="O91" s="491"/>
      <c r="P91" s="491"/>
      <c r="Q91" s="491"/>
      <c r="R91" s="213"/>
      <c r="S91" s="215"/>
      <c r="T91" s="216"/>
      <c r="U91" s="214"/>
      <c r="V91" s="491"/>
      <c r="W91" s="491"/>
      <c r="X91" s="491"/>
      <c r="Y91" s="491"/>
      <c r="Z91" s="491"/>
      <c r="AA91" s="491"/>
      <c r="AB91" s="491"/>
      <c r="AC91" s="491"/>
      <c r="AD91" s="491"/>
      <c r="AE91" s="491"/>
      <c r="AF91" s="491"/>
      <c r="AG91" s="491"/>
      <c r="AH91" s="193"/>
    </row>
    <row r="92" spans="1:34" x14ac:dyDescent="0.25">
      <c r="A92" s="193"/>
      <c r="B92" s="491"/>
      <c r="C92" s="491"/>
      <c r="D92" s="491"/>
      <c r="E92" s="491"/>
      <c r="F92" s="495"/>
      <c r="G92" s="230"/>
      <c r="H92" s="491"/>
      <c r="I92" s="491"/>
      <c r="J92" s="491"/>
      <c r="K92" s="491"/>
      <c r="L92" s="491"/>
      <c r="M92" s="491"/>
      <c r="N92" s="491"/>
      <c r="O92" s="491"/>
      <c r="P92" s="491"/>
      <c r="Q92" s="497"/>
      <c r="R92" s="217"/>
      <c r="S92" s="218"/>
      <c r="T92" s="218"/>
      <c r="U92" s="219"/>
      <c r="V92" s="491"/>
      <c r="W92" s="491"/>
      <c r="X92" s="491"/>
      <c r="Y92" s="491"/>
      <c r="Z92" s="491"/>
      <c r="AA92" s="491"/>
      <c r="AB92" s="491"/>
      <c r="AC92" s="491"/>
      <c r="AD92" s="491"/>
      <c r="AE92" s="491"/>
      <c r="AF92" s="491"/>
      <c r="AG92" s="491"/>
      <c r="AH92" s="193"/>
    </row>
    <row r="93" spans="1:34" ht="15.75" thickBot="1" x14ac:dyDescent="0.3">
      <c r="A93" s="193"/>
      <c r="B93" s="491"/>
      <c r="C93" s="491"/>
      <c r="D93" s="491"/>
      <c r="E93" s="491"/>
      <c r="F93" s="495"/>
      <c r="G93" s="230"/>
      <c r="H93" s="491"/>
      <c r="I93" s="491"/>
      <c r="J93" s="491"/>
      <c r="K93" s="491"/>
      <c r="L93" s="491"/>
      <c r="M93" s="491"/>
      <c r="N93" s="491"/>
      <c r="O93" s="491"/>
      <c r="P93" s="491"/>
      <c r="Q93" s="497"/>
      <c r="R93" s="213"/>
      <c r="S93" s="220"/>
      <c r="T93" s="220"/>
      <c r="U93" s="214"/>
      <c r="V93" s="491"/>
      <c r="W93" s="491"/>
      <c r="X93" s="491"/>
      <c r="Y93" s="491"/>
      <c r="Z93" s="491"/>
      <c r="AA93" s="491"/>
      <c r="AB93" s="491"/>
      <c r="AC93" s="491"/>
      <c r="AD93" s="491"/>
      <c r="AE93" s="491"/>
      <c r="AF93" s="491"/>
      <c r="AG93" s="491"/>
      <c r="AH93" s="193"/>
    </row>
    <row r="94" spans="1:34" x14ac:dyDescent="0.25">
      <c r="A94" s="193"/>
      <c r="B94" s="492"/>
      <c r="C94" s="492"/>
      <c r="D94" s="491"/>
      <c r="E94" s="491"/>
      <c r="F94" s="496"/>
      <c r="G94" s="231"/>
      <c r="H94" s="492"/>
      <c r="I94" s="492"/>
      <c r="J94" s="492"/>
      <c r="K94" s="492"/>
      <c r="L94" s="492"/>
      <c r="M94" s="492"/>
      <c r="N94" s="492"/>
      <c r="O94" s="492"/>
      <c r="P94" s="492"/>
      <c r="Q94" s="492"/>
      <c r="R94" s="221"/>
      <c r="S94" s="493">
        <f>L90/12</f>
        <v>8.6366666666666685</v>
      </c>
      <c r="T94" s="493"/>
      <c r="U94" s="222"/>
      <c r="V94" s="492"/>
      <c r="W94" s="492"/>
      <c r="X94" s="492"/>
      <c r="Y94" s="492"/>
      <c r="Z94" s="492"/>
      <c r="AA94" s="492"/>
      <c r="AB94" s="492"/>
      <c r="AC94" s="492"/>
      <c r="AD94" s="492"/>
      <c r="AE94" s="492"/>
      <c r="AF94" s="492"/>
      <c r="AG94" s="492"/>
      <c r="AH94" s="193"/>
    </row>
    <row r="95" spans="1:34" ht="15.75" thickBot="1" x14ac:dyDescent="0.3">
      <c r="A95" s="195"/>
      <c r="B95" s="200" t="s">
        <v>289</v>
      </c>
      <c r="C95" s="199" t="s">
        <v>264</v>
      </c>
      <c r="D95" s="197">
        <v>60</v>
      </c>
      <c r="E95" s="201">
        <v>8</v>
      </c>
      <c r="F95" s="202"/>
      <c r="G95" s="202">
        <f>9.17*12</f>
        <v>110.03999999999999</v>
      </c>
      <c r="H95" s="202">
        <v>20</v>
      </c>
      <c r="I95" s="202">
        <v>12</v>
      </c>
      <c r="J95" s="202">
        <v>12</v>
      </c>
      <c r="K95" s="199"/>
      <c r="L95" s="199"/>
      <c r="M95" s="199"/>
      <c r="N95" s="199"/>
      <c r="O95" s="199"/>
      <c r="P95" s="199"/>
      <c r="Q95" s="198"/>
      <c r="R95" s="196"/>
      <c r="S95" s="196"/>
      <c r="T95" s="196"/>
      <c r="U95" s="196"/>
      <c r="V95" s="203"/>
      <c r="W95" s="202"/>
      <c r="X95" s="202"/>
      <c r="Y95" s="199"/>
      <c r="Z95" s="199"/>
      <c r="AA95" s="199"/>
      <c r="AB95" s="199"/>
      <c r="AC95" s="199"/>
      <c r="AD95" s="199"/>
      <c r="AE95" s="199"/>
      <c r="AF95" s="199"/>
      <c r="AG95" s="199"/>
      <c r="AH95" s="195"/>
    </row>
    <row r="96" spans="1:34" ht="15.75" thickBot="1" x14ac:dyDescent="0.3">
      <c r="A96" s="193"/>
      <c r="B96" s="204"/>
      <c r="C96" s="205"/>
      <c r="D96" s="194"/>
      <c r="E96" s="206"/>
      <c r="F96" s="205"/>
      <c r="G96" s="205"/>
      <c r="H96" s="207">
        <v>3</v>
      </c>
      <c r="I96" s="207">
        <v>2</v>
      </c>
      <c r="J96" s="205"/>
      <c r="K96" s="205"/>
      <c r="L96" s="205"/>
      <c r="M96" s="205"/>
      <c r="N96" s="205"/>
      <c r="O96" s="205"/>
      <c r="P96" s="205"/>
      <c r="Q96" s="208"/>
      <c r="R96" s="209"/>
      <c r="S96" s="210"/>
      <c r="T96" s="210"/>
      <c r="U96" s="211"/>
      <c r="V96" s="212"/>
      <c r="W96" s="204"/>
      <c r="X96" s="204"/>
      <c r="Y96" s="205"/>
      <c r="Z96" s="205"/>
      <c r="AA96" s="205"/>
      <c r="AB96" s="205"/>
      <c r="AC96" s="205"/>
      <c r="AD96" s="205"/>
      <c r="AE96" s="205"/>
      <c r="AF96" s="205"/>
      <c r="AG96" s="205"/>
      <c r="AH96" s="193"/>
    </row>
    <row r="97" spans="1:34" x14ac:dyDescent="0.25">
      <c r="A97" s="193"/>
      <c r="B97" s="490"/>
      <c r="C97" s="499" t="s">
        <v>265</v>
      </c>
      <c r="D97" s="490">
        <v>5</v>
      </c>
      <c r="E97" s="490">
        <v>0.625</v>
      </c>
      <c r="F97" s="490"/>
      <c r="G97" s="490">
        <f>G95</f>
        <v>110.03999999999999</v>
      </c>
      <c r="H97" s="490"/>
      <c r="I97" s="490">
        <v>2</v>
      </c>
      <c r="J97" s="490">
        <v>1</v>
      </c>
      <c r="K97" s="490"/>
      <c r="L97" s="490">
        <f>G95-2-2</f>
        <v>106.03999999999999</v>
      </c>
      <c r="M97" s="490"/>
      <c r="N97" s="490"/>
      <c r="O97" s="490"/>
      <c r="P97" s="490"/>
      <c r="Q97" s="490"/>
      <c r="R97" s="213"/>
      <c r="S97" s="502"/>
      <c r="T97" s="502"/>
      <c r="U97" s="214"/>
      <c r="V97" s="490">
        <f>SUM(R97:U101)</f>
        <v>8.836666666666666</v>
      </c>
      <c r="W97" s="490">
        <f>+SUM(K97:Q101)</f>
        <v>106.03999999999999</v>
      </c>
      <c r="X97" s="490">
        <f>(+I97*J97*W97)/12</f>
        <v>17.673333333333332</v>
      </c>
      <c r="Y97" s="490">
        <f>IF(Y$4=$D97,$X97*Y$5,0)</f>
        <v>0</v>
      </c>
      <c r="Z97" s="490">
        <f t="shared" ref="Z97:AF97" si="16">IF(Z$4=$D97,$X97*Z$5,0)</f>
        <v>0</v>
      </c>
      <c r="AA97" s="490">
        <f t="shared" si="16"/>
        <v>18.433286666666664</v>
      </c>
      <c r="AB97" s="490">
        <f t="shared" si="16"/>
        <v>0</v>
      </c>
      <c r="AC97" s="490">
        <f t="shared" si="16"/>
        <v>0</v>
      </c>
      <c r="AD97" s="490">
        <f t="shared" si="16"/>
        <v>0</v>
      </c>
      <c r="AE97" s="490">
        <f t="shared" si="16"/>
        <v>0</v>
      </c>
      <c r="AF97" s="490">
        <f t="shared" si="16"/>
        <v>0</v>
      </c>
      <c r="AG97" s="490"/>
      <c r="AH97" s="193"/>
    </row>
    <row r="98" spans="1:34" x14ac:dyDescent="0.25">
      <c r="A98" s="193"/>
      <c r="B98" s="491"/>
      <c r="C98" s="500"/>
      <c r="D98" s="491"/>
      <c r="E98" s="491"/>
      <c r="F98" s="491"/>
      <c r="G98" s="491"/>
      <c r="H98" s="491"/>
      <c r="I98" s="491"/>
      <c r="J98" s="491"/>
      <c r="K98" s="491"/>
      <c r="L98" s="491"/>
      <c r="M98" s="491"/>
      <c r="N98" s="491"/>
      <c r="O98" s="491"/>
      <c r="P98" s="491"/>
      <c r="Q98" s="491"/>
      <c r="R98" s="213"/>
      <c r="S98" s="215"/>
      <c r="T98" s="216"/>
      <c r="U98" s="214"/>
      <c r="V98" s="491"/>
      <c r="W98" s="491"/>
      <c r="X98" s="491"/>
      <c r="Y98" s="491"/>
      <c r="Z98" s="491"/>
      <c r="AA98" s="491"/>
      <c r="AB98" s="491"/>
      <c r="AC98" s="491"/>
      <c r="AD98" s="491"/>
      <c r="AE98" s="491"/>
      <c r="AF98" s="491"/>
      <c r="AG98" s="491"/>
      <c r="AH98" s="193"/>
    </row>
    <row r="99" spans="1:34" x14ac:dyDescent="0.25">
      <c r="A99" s="193"/>
      <c r="B99" s="491"/>
      <c r="C99" s="500"/>
      <c r="D99" s="491"/>
      <c r="E99" s="491"/>
      <c r="F99" s="491"/>
      <c r="G99" s="491"/>
      <c r="H99" s="491"/>
      <c r="I99" s="491"/>
      <c r="J99" s="491"/>
      <c r="K99" s="491"/>
      <c r="L99" s="491"/>
      <c r="M99" s="491"/>
      <c r="N99" s="491"/>
      <c r="O99" s="491"/>
      <c r="P99" s="491"/>
      <c r="Q99" s="491"/>
      <c r="R99" s="217"/>
      <c r="S99" s="218"/>
      <c r="T99" s="218"/>
      <c r="U99" s="219"/>
      <c r="V99" s="491"/>
      <c r="W99" s="491"/>
      <c r="X99" s="491"/>
      <c r="Y99" s="491"/>
      <c r="Z99" s="491"/>
      <c r="AA99" s="491"/>
      <c r="AB99" s="491"/>
      <c r="AC99" s="491"/>
      <c r="AD99" s="491"/>
      <c r="AE99" s="491"/>
      <c r="AF99" s="491"/>
      <c r="AG99" s="491"/>
      <c r="AH99" s="193"/>
    </row>
    <row r="100" spans="1:34" ht="15.75" thickBot="1" x14ac:dyDescent="0.3">
      <c r="A100" s="193"/>
      <c r="B100" s="491"/>
      <c r="C100" s="500"/>
      <c r="D100" s="491"/>
      <c r="E100" s="491"/>
      <c r="F100" s="491"/>
      <c r="G100" s="491"/>
      <c r="H100" s="491"/>
      <c r="I100" s="491"/>
      <c r="J100" s="491"/>
      <c r="K100" s="491"/>
      <c r="L100" s="491"/>
      <c r="M100" s="491"/>
      <c r="N100" s="491"/>
      <c r="O100" s="491"/>
      <c r="P100" s="491"/>
      <c r="Q100" s="491"/>
      <c r="R100" s="213"/>
      <c r="S100" s="220"/>
      <c r="T100" s="220"/>
      <c r="U100" s="214"/>
      <c r="V100" s="491"/>
      <c r="W100" s="491"/>
      <c r="X100" s="491"/>
      <c r="Y100" s="491"/>
      <c r="Z100" s="491"/>
      <c r="AA100" s="491"/>
      <c r="AB100" s="491"/>
      <c r="AC100" s="491"/>
      <c r="AD100" s="491"/>
      <c r="AE100" s="491"/>
      <c r="AF100" s="491"/>
      <c r="AG100" s="491"/>
      <c r="AH100" s="193"/>
    </row>
    <row r="101" spans="1:34" x14ac:dyDescent="0.25">
      <c r="A101" s="193"/>
      <c r="B101" s="492"/>
      <c r="C101" s="501"/>
      <c r="D101" s="492"/>
      <c r="E101" s="492"/>
      <c r="F101" s="492"/>
      <c r="G101" s="492"/>
      <c r="H101" s="492"/>
      <c r="I101" s="492"/>
      <c r="J101" s="492"/>
      <c r="K101" s="492"/>
      <c r="L101" s="492"/>
      <c r="M101" s="492"/>
      <c r="N101" s="492"/>
      <c r="O101" s="492"/>
      <c r="P101" s="492"/>
      <c r="Q101" s="492"/>
      <c r="R101" s="221"/>
      <c r="S101" s="493">
        <f>L97/12</f>
        <v>8.836666666666666</v>
      </c>
      <c r="T101" s="493"/>
      <c r="U101" s="222"/>
      <c r="V101" s="492"/>
      <c r="W101" s="492"/>
      <c r="X101" s="492"/>
      <c r="Y101" s="492"/>
      <c r="Z101" s="492"/>
      <c r="AA101" s="492"/>
      <c r="AB101" s="492"/>
      <c r="AC101" s="492"/>
      <c r="AD101" s="492"/>
      <c r="AE101" s="492"/>
      <c r="AF101" s="492"/>
      <c r="AG101" s="492"/>
      <c r="AH101" s="193"/>
    </row>
    <row r="102" spans="1:34" x14ac:dyDescent="0.25">
      <c r="A102" s="193"/>
      <c r="B102" s="490"/>
      <c r="C102" s="499" t="s">
        <v>271</v>
      </c>
      <c r="D102" s="490">
        <v>5</v>
      </c>
      <c r="E102" s="490">
        <v>0.625</v>
      </c>
      <c r="F102" s="490"/>
      <c r="G102" s="490"/>
      <c r="H102" s="490"/>
      <c r="I102" s="490">
        <v>2</v>
      </c>
      <c r="J102" s="490">
        <v>2</v>
      </c>
      <c r="K102" s="490">
        <v>30</v>
      </c>
      <c r="L102" s="490">
        <v>30</v>
      </c>
      <c r="M102" s="490"/>
      <c r="N102" s="490"/>
      <c r="O102" s="490"/>
      <c r="P102" s="490"/>
      <c r="Q102" s="490"/>
      <c r="R102" s="213"/>
      <c r="S102" s="498"/>
      <c r="T102" s="498"/>
      <c r="U102" s="214"/>
      <c r="V102" s="490">
        <f>SUM(R102:U106)</f>
        <v>5</v>
      </c>
      <c r="W102" s="490">
        <f>+SUM(K102:Q106)</f>
        <v>60</v>
      </c>
      <c r="X102" s="490">
        <f>(+I102*J102*W102)/12</f>
        <v>20</v>
      </c>
      <c r="Y102" s="490">
        <f t="shared" ref="Y102:AF102" si="17">IF(Y$4=$D102,$X102*Y$5,0)</f>
        <v>0</v>
      </c>
      <c r="Z102" s="490">
        <f t="shared" si="17"/>
        <v>0</v>
      </c>
      <c r="AA102" s="490">
        <f t="shared" si="17"/>
        <v>20.86</v>
      </c>
      <c r="AB102" s="490">
        <f t="shared" si="17"/>
        <v>0</v>
      </c>
      <c r="AC102" s="490">
        <f t="shared" si="17"/>
        <v>0</v>
      </c>
      <c r="AD102" s="490">
        <f t="shared" si="17"/>
        <v>0</v>
      </c>
      <c r="AE102" s="490">
        <f t="shared" si="17"/>
        <v>0</v>
      </c>
      <c r="AF102" s="490">
        <f t="shared" si="17"/>
        <v>0</v>
      </c>
      <c r="AG102" s="490"/>
      <c r="AH102" s="193"/>
    </row>
    <row r="103" spans="1:34" x14ac:dyDescent="0.25">
      <c r="A103" s="193"/>
      <c r="B103" s="491"/>
      <c r="C103" s="500"/>
      <c r="D103" s="491"/>
      <c r="E103" s="491"/>
      <c r="F103" s="491"/>
      <c r="G103" s="491"/>
      <c r="H103" s="491"/>
      <c r="I103" s="491"/>
      <c r="J103" s="491"/>
      <c r="K103" s="491"/>
      <c r="L103" s="491"/>
      <c r="M103" s="491"/>
      <c r="N103" s="491"/>
      <c r="O103" s="491"/>
      <c r="P103" s="491"/>
      <c r="Q103" s="491"/>
      <c r="R103" s="213"/>
      <c r="S103" s="215"/>
      <c r="T103" s="216"/>
      <c r="U103" s="214"/>
      <c r="V103" s="491"/>
      <c r="W103" s="491"/>
      <c r="X103" s="491"/>
      <c r="Y103" s="491"/>
      <c r="Z103" s="491"/>
      <c r="AA103" s="491"/>
      <c r="AB103" s="491"/>
      <c r="AC103" s="491"/>
      <c r="AD103" s="491"/>
      <c r="AE103" s="491"/>
      <c r="AF103" s="491"/>
      <c r="AG103" s="491"/>
      <c r="AH103" s="193"/>
    </row>
    <row r="104" spans="1:34" x14ac:dyDescent="0.25">
      <c r="A104" s="193"/>
      <c r="B104" s="491"/>
      <c r="C104" s="500"/>
      <c r="D104" s="491"/>
      <c r="E104" s="491"/>
      <c r="F104" s="491"/>
      <c r="G104" s="491"/>
      <c r="H104" s="491"/>
      <c r="I104" s="491"/>
      <c r="J104" s="491"/>
      <c r="K104" s="491"/>
      <c r="L104" s="491"/>
      <c r="M104" s="491"/>
      <c r="N104" s="491"/>
      <c r="O104" s="491"/>
      <c r="P104" s="491"/>
      <c r="Q104" s="491"/>
      <c r="R104" s="217">
        <f>K102/12</f>
        <v>2.5</v>
      </c>
      <c r="S104" s="223"/>
      <c r="T104" s="195"/>
      <c r="U104" s="219"/>
      <c r="V104" s="491"/>
      <c r="W104" s="491"/>
      <c r="X104" s="491"/>
      <c r="Y104" s="491"/>
      <c r="Z104" s="491"/>
      <c r="AA104" s="491"/>
      <c r="AB104" s="491"/>
      <c r="AC104" s="491"/>
      <c r="AD104" s="491"/>
      <c r="AE104" s="491"/>
      <c r="AF104" s="491"/>
      <c r="AG104" s="491"/>
      <c r="AH104" s="193"/>
    </row>
    <row r="105" spans="1:34" ht="15.75" thickBot="1" x14ac:dyDescent="0.3">
      <c r="A105" s="193"/>
      <c r="B105" s="491"/>
      <c r="C105" s="500"/>
      <c r="D105" s="491"/>
      <c r="E105" s="491"/>
      <c r="F105" s="491"/>
      <c r="G105" s="491"/>
      <c r="H105" s="491"/>
      <c r="I105" s="491"/>
      <c r="J105" s="491"/>
      <c r="K105" s="491"/>
      <c r="L105" s="491"/>
      <c r="M105" s="491"/>
      <c r="N105" s="491"/>
      <c r="O105" s="491"/>
      <c r="P105" s="491"/>
      <c r="Q105" s="491"/>
      <c r="R105" s="213"/>
      <c r="S105" s="224"/>
      <c r="T105" s="220"/>
      <c r="U105" s="214"/>
      <c r="V105" s="491"/>
      <c r="W105" s="491"/>
      <c r="X105" s="491"/>
      <c r="Y105" s="491"/>
      <c r="Z105" s="491"/>
      <c r="AA105" s="491"/>
      <c r="AB105" s="491"/>
      <c r="AC105" s="491"/>
      <c r="AD105" s="491"/>
      <c r="AE105" s="491"/>
      <c r="AF105" s="491"/>
      <c r="AG105" s="491"/>
      <c r="AH105" s="193"/>
    </row>
    <row r="106" spans="1:34" x14ac:dyDescent="0.25">
      <c r="A106" s="193"/>
      <c r="B106" s="492"/>
      <c r="C106" s="501"/>
      <c r="D106" s="492"/>
      <c r="E106" s="492"/>
      <c r="F106" s="492"/>
      <c r="G106" s="492"/>
      <c r="H106" s="492"/>
      <c r="I106" s="492"/>
      <c r="J106" s="492"/>
      <c r="K106" s="492"/>
      <c r="L106" s="492"/>
      <c r="M106" s="492"/>
      <c r="N106" s="492"/>
      <c r="O106" s="492"/>
      <c r="P106" s="492"/>
      <c r="Q106" s="492"/>
      <c r="R106" s="221"/>
      <c r="S106" s="493">
        <f>L102/12</f>
        <v>2.5</v>
      </c>
      <c r="T106" s="493"/>
      <c r="U106" s="222"/>
      <c r="V106" s="492"/>
      <c r="W106" s="492"/>
      <c r="X106" s="492"/>
      <c r="Y106" s="492"/>
      <c r="Z106" s="492"/>
      <c r="AA106" s="492"/>
      <c r="AB106" s="492"/>
      <c r="AC106" s="492"/>
      <c r="AD106" s="492"/>
      <c r="AE106" s="492"/>
      <c r="AF106" s="492"/>
      <c r="AG106" s="492"/>
      <c r="AH106" s="193"/>
    </row>
    <row r="107" spans="1:34" x14ac:dyDescent="0.25">
      <c r="A107" s="193"/>
      <c r="B107" s="490"/>
      <c r="C107" s="490" t="s">
        <v>277</v>
      </c>
      <c r="D107" s="490">
        <v>5</v>
      </c>
      <c r="E107" s="490">
        <v>0.625</v>
      </c>
      <c r="F107" s="494">
        <v>16</v>
      </c>
      <c r="G107" s="229"/>
      <c r="H107" s="490"/>
      <c r="I107" s="490">
        <f>ROUNDUP(G97/F107,0)</f>
        <v>7</v>
      </c>
      <c r="J107" s="490">
        <v>1</v>
      </c>
      <c r="K107" s="490">
        <v>6</v>
      </c>
      <c r="L107" s="490">
        <f>4*12-2</f>
        <v>46</v>
      </c>
      <c r="M107" s="490">
        <f>11*12</f>
        <v>132</v>
      </c>
      <c r="N107" s="490"/>
      <c r="O107" s="490"/>
      <c r="P107" s="490"/>
      <c r="Q107" s="490"/>
      <c r="R107" s="213"/>
      <c r="S107" s="498"/>
      <c r="T107" s="498"/>
      <c r="U107" s="214"/>
      <c r="V107" s="490">
        <f>SUM(R107:U111)</f>
        <v>15.333333333333334</v>
      </c>
      <c r="W107" s="490">
        <f>+SUM(K107:Q111)</f>
        <v>184</v>
      </c>
      <c r="X107" s="490">
        <f>(+I107*J107*W107)/12</f>
        <v>107.33333333333333</v>
      </c>
      <c r="Y107" s="490">
        <f t="shared" ref="Y107:AF107" si="18">IF(Y$4=$D107,$X107*Y$5,0)</f>
        <v>0</v>
      </c>
      <c r="Z107" s="490">
        <f t="shared" si="18"/>
        <v>0</v>
      </c>
      <c r="AA107" s="490">
        <f t="shared" si="18"/>
        <v>111.94866666666665</v>
      </c>
      <c r="AB107" s="490">
        <f t="shared" si="18"/>
        <v>0</v>
      </c>
      <c r="AC107" s="490">
        <f t="shared" si="18"/>
        <v>0</v>
      </c>
      <c r="AD107" s="490">
        <f t="shared" si="18"/>
        <v>0</v>
      </c>
      <c r="AE107" s="490">
        <f t="shared" si="18"/>
        <v>0</v>
      </c>
      <c r="AF107" s="490">
        <f t="shared" si="18"/>
        <v>0</v>
      </c>
      <c r="AG107" s="490"/>
      <c r="AH107" s="193"/>
    </row>
    <row r="108" spans="1:34" x14ac:dyDescent="0.25">
      <c r="A108" s="193"/>
      <c r="B108" s="491"/>
      <c r="C108" s="491"/>
      <c r="D108" s="491"/>
      <c r="E108" s="491"/>
      <c r="F108" s="495"/>
      <c r="G108" s="230"/>
      <c r="H108" s="491"/>
      <c r="I108" s="491"/>
      <c r="J108" s="491"/>
      <c r="K108" s="491"/>
      <c r="L108" s="491"/>
      <c r="M108" s="491"/>
      <c r="N108" s="491"/>
      <c r="O108" s="491"/>
      <c r="P108" s="491"/>
      <c r="Q108" s="491"/>
      <c r="R108" s="213"/>
      <c r="S108" s="215"/>
      <c r="T108" s="216"/>
      <c r="U108" s="214"/>
      <c r="V108" s="491"/>
      <c r="W108" s="491"/>
      <c r="X108" s="491"/>
      <c r="Y108" s="491"/>
      <c r="Z108" s="491"/>
      <c r="AA108" s="491"/>
      <c r="AB108" s="491"/>
      <c r="AC108" s="491"/>
      <c r="AD108" s="491"/>
      <c r="AE108" s="491"/>
      <c r="AF108" s="491"/>
      <c r="AG108" s="491"/>
      <c r="AH108" s="193"/>
    </row>
    <row r="109" spans="1:34" x14ac:dyDescent="0.25">
      <c r="A109" s="193"/>
      <c r="B109" s="491"/>
      <c r="C109" s="491"/>
      <c r="D109" s="491"/>
      <c r="E109" s="491"/>
      <c r="F109" s="495"/>
      <c r="G109" s="230"/>
      <c r="H109" s="491"/>
      <c r="I109" s="491"/>
      <c r="J109" s="491"/>
      <c r="K109" s="491"/>
      <c r="L109" s="491"/>
      <c r="M109" s="491"/>
      <c r="N109" s="491"/>
      <c r="O109" s="491"/>
      <c r="P109" s="491"/>
      <c r="Q109" s="491"/>
      <c r="R109" s="225">
        <f>K107/12</f>
        <v>0.5</v>
      </c>
      <c r="S109" s="218"/>
      <c r="T109" s="218"/>
      <c r="U109" s="219"/>
      <c r="V109" s="491"/>
      <c r="W109" s="491"/>
      <c r="X109" s="491"/>
      <c r="Y109" s="491"/>
      <c r="Z109" s="491"/>
      <c r="AA109" s="491"/>
      <c r="AB109" s="491"/>
      <c r="AC109" s="491"/>
      <c r="AD109" s="491"/>
      <c r="AE109" s="491"/>
      <c r="AF109" s="491"/>
      <c r="AG109" s="491"/>
      <c r="AH109" s="193"/>
    </row>
    <row r="110" spans="1:34" ht="15.75" thickBot="1" x14ac:dyDescent="0.3">
      <c r="A110" s="193"/>
      <c r="B110" s="491"/>
      <c r="C110" s="491"/>
      <c r="D110" s="491"/>
      <c r="E110" s="491"/>
      <c r="F110" s="495"/>
      <c r="G110" s="230"/>
      <c r="H110" s="491"/>
      <c r="I110" s="491"/>
      <c r="J110" s="491"/>
      <c r="K110" s="491"/>
      <c r="L110" s="491"/>
      <c r="M110" s="491"/>
      <c r="N110" s="491"/>
      <c r="O110" s="491"/>
      <c r="P110" s="491"/>
      <c r="Q110" s="491"/>
      <c r="R110" s="226"/>
      <c r="S110" s="220"/>
      <c r="T110" s="220"/>
      <c r="U110" s="214"/>
      <c r="V110" s="491"/>
      <c r="W110" s="491"/>
      <c r="X110" s="491"/>
      <c r="Y110" s="491"/>
      <c r="Z110" s="491"/>
      <c r="AA110" s="491"/>
      <c r="AB110" s="491"/>
      <c r="AC110" s="491"/>
      <c r="AD110" s="491"/>
      <c r="AE110" s="491"/>
      <c r="AF110" s="491"/>
      <c r="AG110" s="491"/>
      <c r="AH110" s="193"/>
    </row>
    <row r="111" spans="1:34" x14ac:dyDescent="0.25">
      <c r="A111" s="193"/>
      <c r="B111" s="492"/>
      <c r="C111" s="492"/>
      <c r="D111" s="491"/>
      <c r="E111" s="491"/>
      <c r="F111" s="496"/>
      <c r="G111" s="231"/>
      <c r="H111" s="492"/>
      <c r="I111" s="492"/>
      <c r="J111" s="492"/>
      <c r="K111" s="492"/>
      <c r="L111" s="492"/>
      <c r="M111" s="492"/>
      <c r="N111" s="492"/>
      <c r="O111" s="492"/>
      <c r="P111" s="492"/>
      <c r="Q111" s="492"/>
      <c r="R111" s="221"/>
      <c r="S111" s="493">
        <f>+SUM(L107:M111)/12</f>
        <v>14.833333333333334</v>
      </c>
      <c r="T111" s="493"/>
      <c r="U111" s="222"/>
      <c r="V111" s="492"/>
      <c r="W111" s="492"/>
      <c r="X111" s="492"/>
      <c r="Y111" s="492"/>
      <c r="Z111" s="492"/>
      <c r="AA111" s="492"/>
      <c r="AB111" s="492"/>
      <c r="AC111" s="492"/>
      <c r="AD111" s="492"/>
      <c r="AE111" s="492"/>
      <c r="AF111" s="492"/>
      <c r="AG111" s="492"/>
      <c r="AH111" s="193"/>
    </row>
    <row r="112" spans="1:34" x14ac:dyDescent="0.25">
      <c r="A112" s="193"/>
      <c r="B112" s="490"/>
      <c r="C112" s="490" t="s">
        <v>286</v>
      </c>
      <c r="D112" s="490">
        <v>5</v>
      </c>
      <c r="E112" s="490">
        <v>0.625</v>
      </c>
      <c r="F112" s="494">
        <v>16</v>
      </c>
      <c r="G112" s="229"/>
      <c r="H112" s="490"/>
      <c r="I112" s="490">
        <f>ROUNDUP(M107/F112,0)</f>
        <v>9</v>
      </c>
      <c r="J112" s="490">
        <v>1</v>
      </c>
      <c r="K112" s="490"/>
      <c r="L112" s="490">
        <f>G95-2-2</f>
        <v>106.03999999999999</v>
      </c>
      <c r="M112" s="490"/>
      <c r="N112" s="490"/>
      <c r="O112" s="490"/>
      <c r="P112" s="490"/>
      <c r="Q112" s="490"/>
      <c r="R112" s="213"/>
      <c r="S112" s="498"/>
      <c r="T112" s="498"/>
      <c r="U112" s="214"/>
      <c r="V112" s="490">
        <f>SUM(R112:U116)</f>
        <v>8.836666666666666</v>
      </c>
      <c r="W112" s="490">
        <f>+SUM(K112:Q116)</f>
        <v>106.03999999999999</v>
      </c>
      <c r="X112" s="490">
        <f>(+I112*J112*W112)/12</f>
        <v>79.529999999999987</v>
      </c>
      <c r="Y112" s="490">
        <f t="shared" ref="Y112:AF112" si="19">IF(Y$4=$D112,$X112*Y$5,0)</f>
        <v>0</v>
      </c>
      <c r="Z112" s="490">
        <f t="shared" si="19"/>
        <v>0</v>
      </c>
      <c r="AA112" s="490">
        <f t="shared" si="19"/>
        <v>82.949789999999979</v>
      </c>
      <c r="AB112" s="490">
        <f t="shared" si="19"/>
        <v>0</v>
      </c>
      <c r="AC112" s="490">
        <f t="shared" si="19"/>
        <v>0</v>
      </c>
      <c r="AD112" s="490">
        <f t="shared" si="19"/>
        <v>0</v>
      </c>
      <c r="AE112" s="490">
        <f t="shared" si="19"/>
        <v>0</v>
      </c>
      <c r="AF112" s="490">
        <f t="shared" si="19"/>
        <v>0</v>
      </c>
      <c r="AG112" s="490"/>
      <c r="AH112" s="193"/>
    </row>
    <row r="113" spans="1:34" x14ac:dyDescent="0.25">
      <c r="A113" s="193"/>
      <c r="B113" s="491"/>
      <c r="C113" s="491"/>
      <c r="D113" s="491"/>
      <c r="E113" s="491"/>
      <c r="F113" s="495"/>
      <c r="G113" s="230"/>
      <c r="H113" s="491"/>
      <c r="I113" s="491"/>
      <c r="J113" s="491"/>
      <c r="K113" s="491"/>
      <c r="L113" s="491"/>
      <c r="M113" s="491"/>
      <c r="N113" s="491"/>
      <c r="O113" s="491"/>
      <c r="P113" s="491"/>
      <c r="Q113" s="491"/>
      <c r="R113" s="213"/>
      <c r="S113" s="215"/>
      <c r="T113" s="216"/>
      <c r="U113" s="214"/>
      <c r="V113" s="491"/>
      <c r="W113" s="491"/>
      <c r="X113" s="491"/>
      <c r="Y113" s="491"/>
      <c r="Z113" s="491"/>
      <c r="AA113" s="491"/>
      <c r="AB113" s="491"/>
      <c r="AC113" s="491"/>
      <c r="AD113" s="491"/>
      <c r="AE113" s="491"/>
      <c r="AF113" s="491"/>
      <c r="AG113" s="491"/>
      <c r="AH113" s="193"/>
    </row>
    <row r="114" spans="1:34" x14ac:dyDescent="0.25">
      <c r="A114" s="193"/>
      <c r="B114" s="491"/>
      <c r="C114" s="491"/>
      <c r="D114" s="491"/>
      <c r="E114" s="491"/>
      <c r="F114" s="495"/>
      <c r="G114" s="230"/>
      <c r="H114" s="491"/>
      <c r="I114" s="491"/>
      <c r="J114" s="491"/>
      <c r="K114" s="491"/>
      <c r="L114" s="491"/>
      <c r="M114" s="491"/>
      <c r="N114" s="491"/>
      <c r="O114" s="491"/>
      <c r="P114" s="491"/>
      <c r="Q114" s="497"/>
      <c r="R114" s="217"/>
      <c r="S114" s="218"/>
      <c r="T114" s="218"/>
      <c r="U114" s="219"/>
      <c r="V114" s="491"/>
      <c r="W114" s="491"/>
      <c r="X114" s="491"/>
      <c r="Y114" s="491"/>
      <c r="Z114" s="491"/>
      <c r="AA114" s="491"/>
      <c r="AB114" s="491"/>
      <c r="AC114" s="491"/>
      <c r="AD114" s="491"/>
      <c r="AE114" s="491"/>
      <c r="AF114" s="491"/>
      <c r="AG114" s="491"/>
      <c r="AH114" s="193"/>
    </row>
    <row r="115" spans="1:34" ht="15.75" thickBot="1" x14ac:dyDescent="0.3">
      <c r="A115" s="193"/>
      <c r="B115" s="491"/>
      <c r="C115" s="491"/>
      <c r="D115" s="491"/>
      <c r="E115" s="491"/>
      <c r="F115" s="495"/>
      <c r="G115" s="230"/>
      <c r="H115" s="491"/>
      <c r="I115" s="491"/>
      <c r="J115" s="491"/>
      <c r="K115" s="491"/>
      <c r="L115" s="491"/>
      <c r="M115" s="491"/>
      <c r="N115" s="491"/>
      <c r="O115" s="491"/>
      <c r="P115" s="491"/>
      <c r="Q115" s="497"/>
      <c r="R115" s="213"/>
      <c r="S115" s="220"/>
      <c r="T115" s="220"/>
      <c r="U115" s="214"/>
      <c r="V115" s="491"/>
      <c r="W115" s="491"/>
      <c r="X115" s="491"/>
      <c r="Y115" s="491"/>
      <c r="Z115" s="491"/>
      <c r="AA115" s="491"/>
      <c r="AB115" s="491"/>
      <c r="AC115" s="491"/>
      <c r="AD115" s="491"/>
      <c r="AE115" s="491"/>
      <c r="AF115" s="491"/>
      <c r="AG115" s="491"/>
      <c r="AH115" s="193"/>
    </row>
    <row r="116" spans="1:34" x14ac:dyDescent="0.25">
      <c r="A116" s="193"/>
      <c r="B116" s="492"/>
      <c r="C116" s="492"/>
      <c r="D116" s="491"/>
      <c r="E116" s="491"/>
      <c r="F116" s="496"/>
      <c r="G116" s="231"/>
      <c r="H116" s="492"/>
      <c r="I116" s="492"/>
      <c r="J116" s="492"/>
      <c r="K116" s="492"/>
      <c r="L116" s="492"/>
      <c r="M116" s="492"/>
      <c r="N116" s="492"/>
      <c r="O116" s="492"/>
      <c r="P116" s="492"/>
      <c r="Q116" s="492"/>
      <c r="R116" s="221"/>
      <c r="S116" s="493">
        <f>L112/12</f>
        <v>8.836666666666666</v>
      </c>
      <c r="T116" s="493"/>
      <c r="U116" s="222"/>
      <c r="V116" s="492"/>
      <c r="W116" s="492"/>
      <c r="X116" s="492"/>
      <c r="Y116" s="492"/>
      <c r="Z116" s="492"/>
      <c r="AA116" s="492"/>
      <c r="AB116" s="492"/>
      <c r="AC116" s="492"/>
      <c r="AD116" s="492"/>
      <c r="AE116" s="492"/>
      <c r="AF116" s="492"/>
      <c r="AG116" s="492"/>
      <c r="AH116" s="193"/>
    </row>
    <row r="117" spans="1:34" ht="15.75" thickBot="1" x14ac:dyDescent="0.3">
      <c r="A117" s="195"/>
      <c r="B117" s="200" t="s">
        <v>290</v>
      </c>
      <c r="C117" s="199" t="s">
        <v>264</v>
      </c>
      <c r="D117" s="197">
        <v>60</v>
      </c>
      <c r="E117" s="201">
        <v>8</v>
      </c>
      <c r="F117" s="202"/>
      <c r="G117" s="202">
        <f>10.33*12</f>
        <v>123.96000000000001</v>
      </c>
      <c r="H117" s="202">
        <v>20</v>
      </c>
      <c r="I117" s="202">
        <v>12</v>
      </c>
      <c r="J117" s="202">
        <v>12</v>
      </c>
      <c r="K117" s="199"/>
      <c r="L117" s="199"/>
      <c r="M117" s="199"/>
      <c r="N117" s="199"/>
      <c r="O117" s="199"/>
      <c r="P117" s="199"/>
      <c r="Q117" s="198"/>
      <c r="R117" s="196"/>
      <c r="S117" s="196"/>
      <c r="T117" s="196"/>
      <c r="U117" s="196"/>
      <c r="V117" s="203"/>
      <c r="W117" s="202"/>
      <c r="X117" s="202"/>
      <c r="Y117" s="199"/>
      <c r="Z117" s="199"/>
      <c r="AA117" s="199"/>
      <c r="AB117" s="199"/>
      <c r="AC117" s="199"/>
      <c r="AD117" s="199"/>
      <c r="AE117" s="199"/>
      <c r="AF117" s="199"/>
      <c r="AG117" s="199"/>
      <c r="AH117" s="195"/>
    </row>
    <row r="118" spans="1:34" ht="15.75" thickBot="1" x14ac:dyDescent="0.3">
      <c r="A118" s="193"/>
      <c r="B118" s="204"/>
      <c r="C118" s="205"/>
      <c r="D118" s="194"/>
      <c r="E118" s="206"/>
      <c r="F118" s="205"/>
      <c r="G118" s="205"/>
      <c r="H118" s="207">
        <v>3</v>
      </c>
      <c r="I118" s="207">
        <v>2</v>
      </c>
      <c r="J118" s="205"/>
      <c r="K118" s="205"/>
      <c r="L118" s="205"/>
      <c r="M118" s="205"/>
      <c r="N118" s="205"/>
      <c r="O118" s="205"/>
      <c r="P118" s="205"/>
      <c r="Q118" s="208"/>
      <c r="R118" s="209"/>
      <c r="S118" s="210"/>
      <c r="T118" s="210"/>
      <c r="U118" s="211"/>
      <c r="V118" s="212"/>
      <c r="W118" s="204"/>
      <c r="X118" s="204"/>
      <c r="Y118" s="205"/>
      <c r="Z118" s="205"/>
      <c r="AA118" s="205"/>
      <c r="AB118" s="205"/>
      <c r="AC118" s="205"/>
      <c r="AD118" s="205"/>
      <c r="AE118" s="205"/>
      <c r="AF118" s="205"/>
      <c r="AG118" s="205"/>
      <c r="AH118" s="193"/>
    </row>
    <row r="119" spans="1:34" x14ac:dyDescent="0.25">
      <c r="A119" s="193"/>
      <c r="B119" s="490"/>
      <c r="C119" s="499" t="s">
        <v>265</v>
      </c>
      <c r="D119" s="490">
        <v>5</v>
      </c>
      <c r="E119" s="490">
        <v>0.625</v>
      </c>
      <c r="F119" s="490"/>
      <c r="G119" s="490">
        <f>G117</f>
        <v>123.96000000000001</v>
      </c>
      <c r="H119" s="490"/>
      <c r="I119" s="490">
        <v>2</v>
      </c>
      <c r="J119" s="490">
        <v>1</v>
      </c>
      <c r="K119" s="490"/>
      <c r="L119" s="490">
        <f>G117-2-2</f>
        <v>119.96000000000001</v>
      </c>
      <c r="M119" s="490"/>
      <c r="N119" s="490"/>
      <c r="O119" s="490"/>
      <c r="P119" s="490"/>
      <c r="Q119" s="490"/>
      <c r="R119" s="213"/>
      <c r="S119" s="502"/>
      <c r="T119" s="502"/>
      <c r="U119" s="214"/>
      <c r="V119" s="490">
        <f>SUM(R119:U123)</f>
        <v>9.9966666666666679</v>
      </c>
      <c r="W119" s="490">
        <f>+SUM(K119:Q123)</f>
        <v>119.96000000000001</v>
      </c>
      <c r="X119" s="490">
        <f>(+I119*J119*W119)/12</f>
        <v>19.993333333333336</v>
      </c>
      <c r="Y119" s="490">
        <f>IF(Y$4=$D119,$X119*Y$5,0)</f>
        <v>0</v>
      </c>
      <c r="Z119" s="490">
        <f t="shared" ref="Z119:AF119" si="20">IF(Z$4=$D119,$X119*Z$5,0)</f>
        <v>0</v>
      </c>
      <c r="AA119" s="490">
        <f t="shared" si="20"/>
        <v>20.853046666666668</v>
      </c>
      <c r="AB119" s="490">
        <f t="shared" si="20"/>
        <v>0</v>
      </c>
      <c r="AC119" s="490">
        <f t="shared" si="20"/>
        <v>0</v>
      </c>
      <c r="AD119" s="490">
        <f t="shared" si="20"/>
        <v>0</v>
      </c>
      <c r="AE119" s="490">
        <f t="shared" si="20"/>
        <v>0</v>
      </c>
      <c r="AF119" s="490">
        <f t="shared" si="20"/>
        <v>0</v>
      </c>
      <c r="AG119" s="490"/>
      <c r="AH119" s="193"/>
    </row>
    <row r="120" spans="1:34" x14ac:dyDescent="0.25">
      <c r="A120" s="193"/>
      <c r="B120" s="491"/>
      <c r="C120" s="500"/>
      <c r="D120" s="491"/>
      <c r="E120" s="491"/>
      <c r="F120" s="491"/>
      <c r="G120" s="491"/>
      <c r="H120" s="491"/>
      <c r="I120" s="491"/>
      <c r="J120" s="491"/>
      <c r="K120" s="491"/>
      <c r="L120" s="491"/>
      <c r="M120" s="491"/>
      <c r="N120" s="491"/>
      <c r="O120" s="491"/>
      <c r="P120" s="491"/>
      <c r="Q120" s="491"/>
      <c r="R120" s="213"/>
      <c r="S120" s="215"/>
      <c r="T120" s="216"/>
      <c r="U120" s="214"/>
      <c r="V120" s="491"/>
      <c r="W120" s="491"/>
      <c r="X120" s="491"/>
      <c r="Y120" s="491"/>
      <c r="Z120" s="491"/>
      <c r="AA120" s="491"/>
      <c r="AB120" s="491"/>
      <c r="AC120" s="491"/>
      <c r="AD120" s="491"/>
      <c r="AE120" s="491"/>
      <c r="AF120" s="491"/>
      <c r="AG120" s="491"/>
      <c r="AH120" s="193"/>
    </row>
    <row r="121" spans="1:34" x14ac:dyDescent="0.25">
      <c r="A121" s="193"/>
      <c r="B121" s="491"/>
      <c r="C121" s="500"/>
      <c r="D121" s="491"/>
      <c r="E121" s="491"/>
      <c r="F121" s="491"/>
      <c r="G121" s="491"/>
      <c r="H121" s="491"/>
      <c r="I121" s="491"/>
      <c r="J121" s="491"/>
      <c r="K121" s="491"/>
      <c r="L121" s="491"/>
      <c r="M121" s="491"/>
      <c r="N121" s="491"/>
      <c r="O121" s="491"/>
      <c r="P121" s="491"/>
      <c r="Q121" s="491"/>
      <c r="R121" s="217"/>
      <c r="S121" s="218"/>
      <c r="T121" s="218"/>
      <c r="U121" s="219"/>
      <c r="V121" s="491"/>
      <c r="W121" s="491"/>
      <c r="X121" s="491"/>
      <c r="Y121" s="491"/>
      <c r="Z121" s="491"/>
      <c r="AA121" s="491"/>
      <c r="AB121" s="491"/>
      <c r="AC121" s="491"/>
      <c r="AD121" s="491"/>
      <c r="AE121" s="491"/>
      <c r="AF121" s="491"/>
      <c r="AG121" s="491"/>
      <c r="AH121" s="193"/>
    </row>
    <row r="122" spans="1:34" ht="15.75" thickBot="1" x14ac:dyDescent="0.3">
      <c r="A122" s="193"/>
      <c r="B122" s="491"/>
      <c r="C122" s="500"/>
      <c r="D122" s="491"/>
      <c r="E122" s="491"/>
      <c r="F122" s="491"/>
      <c r="G122" s="491"/>
      <c r="H122" s="491"/>
      <c r="I122" s="491"/>
      <c r="J122" s="491"/>
      <c r="K122" s="491"/>
      <c r="L122" s="491"/>
      <c r="M122" s="491"/>
      <c r="N122" s="491"/>
      <c r="O122" s="491"/>
      <c r="P122" s="491"/>
      <c r="Q122" s="491"/>
      <c r="R122" s="213"/>
      <c r="S122" s="220"/>
      <c r="T122" s="220"/>
      <c r="U122" s="214"/>
      <c r="V122" s="491"/>
      <c r="W122" s="491"/>
      <c r="X122" s="491"/>
      <c r="Y122" s="491"/>
      <c r="Z122" s="491"/>
      <c r="AA122" s="491"/>
      <c r="AB122" s="491"/>
      <c r="AC122" s="491"/>
      <c r="AD122" s="491"/>
      <c r="AE122" s="491"/>
      <c r="AF122" s="491"/>
      <c r="AG122" s="491"/>
      <c r="AH122" s="193"/>
    </row>
    <row r="123" spans="1:34" x14ac:dyDescent="0.25">
      <c r="A123" s="193"/>
      <c r="B123" s="492"/>
      <c r="C123" s="501"/>
      <c r="D123" s="492"/>
      <c r="E123" s="492"/>
      <c r="F123" s="492"/>
      <c r="G123" s="492"/>
      <c r="H123" s="492"/>
      <c r="I123" s="492"/>
      <c r="J123" s="492"/>
      <c r="K123" s="492"/>
      <c r="L123" s="492"/>
      <c r="M123" s="492"/>
      <c r="N123" s="492"/>
      <c r="O123" s="492"/>
      <c r="P123" s="492"/>
      <c r="Q123" s="492"/>
      <c r="R123" s="221"/>
      <c r="S123" s="493">
        <f>L119/12</f>
        <v>9.9966666666666679</v>
      </c>
      <c r="T123" s="493"/>
      <c r="U123" s="222"/>
      <c r="V123" s="492"/>
      <c r="W123" s="492"/>
      <c r="X123" s="492"/>
      <c r="Y123" s="492"/>
      <c r="Z123" s="492"/>
      <c r="AA123" s="492"/>
      <c r="AB123" s="492"/>
      <c r="AC123" s="492"/>
      <c r="AD123" s="492"/>
      <c r="AE123" s="492"/>
      <c r="AF123" s="492"/>
      <c r="AG123" s="492"/>
      <c r="AH123" s="193"/>
    </row>
    <row r="124" spans="1:34" x14ac:dyDescent="0.25">
      <c r="A124" s="193"/>
      <c r="B124" s="490"/>
      <c r="C124" s="499" t="s">
        <v>271</v>
      </c>
      <c r="D124" s="490">
        <v>5</v>
      </c>
      <c r="E124" s="490">
        <v>0.625</v>
      </c>
      <c r="F124" s="490"/>
      <c r="G124" s="490"/>
      <c r="H124" s="490"/>
      <c r="I124" s="490">
        <v>2</v>
      </c>
      <c r="J124" s="490">
        <v>2</v>
      </c>
      <c r="K124" s="490">
        <v>30</v>
      </c>
      <c r="L124" s="490">
        <v>30</v>
      </c>
      <c r="M124" s="490"/>
      <c r="N124" s="490"/>
      <c r="O124" s="490"/>
      <c r="P124" s="490"/>
      <c r="Q124" s="490"/>
      <c r="R124" s="213"/>
      <c r="S124" s="498"/>
      <c r="T124" s="498"/>
      <c r="U124" s="214"/>
      <c r="V124" s="490">
        <f>SUM(R124:U128)</f>
        <v>5</v>
      </c>
      <c r="W124" s="490">
        <f>+SUM(K124:Q128)</f>
        <v>60</v>
      </c>
      <c r="X124" s="490">
        <f>(+I124*J124*W124)/12</f>
        <v>20</v>
      </c>
      <c r="Y124" s="490">
        <f t="shared" ref="Y124:AF124" si="21">IF(Y$4=$D124,$X124*Y$5,0)</f>
        <v>0</v>
      </c>
      <c r="Z124" s="490">
        <f t="shared" si="21"/>
        <v>0</v>
      </c>
      <c r="AA124" s="490">
        <f t="shared" si="21"/>
        <v>20.86</v>
      </c>
      <c r="AB124" s="490">
        <f t="shared" si="21"/>
        <v>0</v>
      </c>
      <c r="AC124" s="490">
        <f t="shared" si="21"/>
        <v>0</v>
      </c>
      <c r="AD124" s="490">
        <f t="shared" si="21"/>
        <v>0</v>
      </c>
      <c r="AE124" s="490">
        <f t="shared" si="21"/>
        <v>0</v>
      </c>
      <c r="AF124" s="490">
        <f t="shared" si="21"/>
        <v>0</v>
      </c>
      <c r="AG124" s="490"/>
      <c r="AH124" s="193"/>
    </row>
    <row r="125" spans="1:34" x14ac:dyDescent="0.25">
      <c r="A125" s="193"/>
      <c r="B125" s="491"/>
      <c r="C125" s="500"/>
      <c r="D125" s="491"/>
      <c r="E125" s="491"/>
      <c r="F125" s="491"/>
      <c r="G125" s="491"/>
      <c r="H125" s="491"/>
      <c r="I125" s="491"/>
      <c r="J125" s="491"/>
      <c r="K125" s="491"/>
      <c r="L125" s="491"/>
      <c r="M125" s="491"/>
      <c r="N125" s="491"/>
      <c r="O125" s="491"/>
      <c r="P125" s="491"/>
      <c r="Q125" s="491"/>
      <c r="R125" s="213"/>
      <c r="S125" s="215"/>
      <c r="T125" s="216"/>
      <c r="U125" s="214"/>
      <c r="V125" s="491"/>
      <c r="W125" s="491"/>
      <c r="X125" s="491"/>
      <c r="Y125" s="491"/>
      <c r="Z125" s="491"/>
      <c r="AA125" s="491"/>
      <c r="AB125" s="491"/>
      <c r="AC125" s="491"/>
      <c r="AD125" s="491"/>
      <c r="AE125" s="491"/>
      <c r="AF125" s="491"/>
      <c r="AG125" s="491"/>
      <c r="AH125" s="193"/>
    </row>
    <row r="126" spans="1:34" x14ac:dyDescent="0.25">
      <c r="A126" s="193"/>
      <c r="B126" s="491"/>
      <c r="C126" s="500"/>
      <c r="D126" s="491"/>
      <c r="E126" s="491"/>
      <c r="F126" s="491"/>
      <c r="G126" s="491"/>
      <c r="H126" s="491"/>
      <c r="I126" s="491"/>
      <c r="J126" s="491"/>
      <c r="K126" s="491"/>
      <c r="L126" s="491"/>
      <c r="M126" s="491"/>
      <c r="N126" s="491"/>
      <c r="O126" s="491"/>
      <c r="P126" s="491"/>
      <c r="Q126" s="491"/>
      <c r="R126" s="217">
        <f>K124/12</f>
        <v>2.5</v>
      </c>
      <c r="S126" s="223"/>
      <c r="T126" s="195"/>
      <c r="U126" s="219"/>
      <c r="V126" s="491"/>
      <c r="W126" s="491"/>
      <c r="X126" s="491"/>
      <c r="Y126" s="491"/>
      <c r="Z126" s="491"/>
      <c r="AA126" s="491"/>
      <c r="AB126" s="491"/>
      <c r="AC126" s="491"/>
      <c r="AD126" s="491"/>
      <c r="AE126" s="491"/>
      <c r="AF126" s="491"/>
      <c r="AG126" s="491"/>
      <c r="AH126" s="193"/>
    </row>
    <row r="127" spans="1:34" ht="15.75" thickBot="1" x14ac:dyDescent="0.3">
      <c r="A127" s="193"/>
      <c r="B127" s="491"/>
      <c r="C127" s="500"/>
      <c r="D127" s="491"/>
      <c r="E127" s="491"/>
      <c r="F127" s="491"/>
      <c r="G127" s="491"/>
      <c r="H127" s="491"/>
      <c r="I127" s="491"/>
      <c r="J127" s="491"/>
      <c r="K127" s="491"/>
      <c r="L127" s="491"/>
      <c r="M127" s="491"/>
      <c r="N127" s="491"/>
      <c r="O127" s="491"/>
      <c r="P127" s="491"/>
      <c r="Q127" s="491"/>
      <c r="R127" s="213"/>
      <c r="S127" s="224"/>
      <c r="T127" s="220"/>
      <c r="U127" s="214"/>
      <c r="V127" s="491"/>
      <c r="W127" s="491"/>
      <c r="X127" s="491"/>
      <c r="Y127" s="491"/>
      <c r="Z127" s="491"/>
      <c r="AA127" s="491"/>
      <c r="AB127" s="491"/>
      <c r="AC127" s="491"/>
      <c r="AD127" s="491"/>
      <c r="AE127" s="491"/>
      <c r="AF127" s="491"/>
      <c r="AG127" s="491"/>
      <c r="AH127" s="193"/>
    </row>
    <row r="128" spans="1:34" x14ac:dyDescent="0.25">
      <c r="A128" s="193"/>
      <c r="B128" s="492"/>
      <c r="C128" s="501"/>
      <c r="D128" s="492"/>
      <c r="E128" s="492"/>
      <c r="F128" s="492"/>
      <c r="G128" s="492"/>
      <c r="H128" s="492"/>
      <c r="I128" s="492"/>
      <c r="J128" s="492"/>
      <c r="K128" s="492"/>
      <c r="L128" s="492"/>
      <c r="M128" s="492"/>
      <c r="N128" s="492"/>
      <c r="O128" s="492"/>
      <c r="P128" s="492"/>
      <c r="Q128" s="492"/>
      <c r="R128" s="221"/>
      <c r="S128" s="493">
        <f>L124/12</f>
        <v>2.5</v>
      </c>
      <c r="T128" s="493"/>
      <c r="U128" s="222"/>
      <c r="V128" s="492"/>
      <c r="W128" s="492"/>
      <c r="X128" s="492"/>
      <c r="Y128" s="492"/>
      <c r="Z128" s="492"/>
      <c r="AA128" s="492"/>
      <c r="AB128" s="492"/>
      <c r="AC128" s="492"/>
      <c r="AD128" s="492"/>
      <c r="AE128" s="492"/>
      <c r="AF128" s="492"/>
      <c r="AG128" s="492"/>
      <c r="AH128" s="193"/>
    </row>
    <row r="129" spans="1:34" x14ac:dyDescent="0.25">
      <c r="A129" s="193"/>
      <c r="B129" s="490"/>
      <c r="C129" s="490" t="s">
        <v>277</v>
      </c>
      <c r="D129" s="490">
        <v>5</v>
      </c>
      <c r="E129" s="490">
        <v>0.625</v>
      </c>
      <c r="F129" s="494">
        <v>16</v>
      </c>
      <c r="G129" s="229"/>
      <c r="H129" s="490"/>
      <c r="I129" s="490">
        <f>ROUNDUP(G119/F129,0)</f>
        <v>8</v>
      </c>
      <c r="J129" s="490">
        <v>1</v>
      </c>
      <c r="K129" s="490">
        <v>6</v>
      </c>
      <c r="L129" s="490">
        <f>4*12-2</f>
        <v>46</v>
      </c>
      <c r="M129" s="490">
        <f>11*12</f>
        <v>132</v>
      </c>
      <c r="N129" s="490"/>
      <c r="O129" s="490"/>
      <c r="P129" s="490"/>
      <c r="Q129" s="490"/>
      <c r="R129" s="213"/>
      <c r="S129" s="498"/>
      <c r="T129" s="498"/>
      <c r="U129" s="214"/>
      <c r="V129" s="490">
        <f>SUM(R129:U133)</f>
        <v>15.333333333333334</v>
      </c>
      <c r="W129" s="490">
        <f>+SUM(K129:Q133)</f>
        <v>184</v>
      </c>
      <c r="X129" s="490">
        <f>(+I129*J129*W129)/12</f>
        <v>122.66666666666667</v>
      </c>
      <c r="Y129" s="490">
        <f t="shared" ref="Y129:AF129" si="22">IF(Y$4=$D129,$X129*Y$5,0)</f>
        <v>0</v>
      </c>
      <c r="Z129" s="490">
        <f t="shared" si="22"/>
        <v>0</v>
      </c>
      <c r="AA129" s="490">
        <f t="shared" si="22"/>
        <v>127.94133333333333</v>
      </c>
      <c r="AB129" s="490">
        <f t="shared" si="22"/>
        <v>0</v>
      </c>
      <c r="AC129" s="490">
        <f t="shared" si="22"/>
        <v>0</v>
      </c>
      <c r="AD129" s="490">
        <f t="shared" si="22"/>
        <v>0</v>
      </c>
      <c r="AE129" s="490">
        <f t="shared" si="22"/>
        <v>0</v>
      </c>
      <c r="AF129" s="490">
        <f t="shared" si="22"/>
        <v>0</v>
      </c>
      <c r="AG129" s="490"/>
      <c r="AH129" s="193"/>
    </row>
    <row r="130" spans="1:34" x14ac:dyDescent="0.25">
      <c r="A130" s="193"/>
      <c r="B130" s="491"/>
      <c r="C130" s="491"/>
      <c r="D130" s="491"/>
      <c r="E130" s="491"/>
      <c r="F130" s="495"/>
      <c r="G130" s="230"/>
      <c r="H130" s="491"/>
      <c r="I130" s="491"/>
      <c r="J130" s="491"/>
      <c r="K130" s="491"/>
      <c r="L130" s="491"/>
      <c r="M130" s="491"/>
      <c r="N130" s="491"/>
      <c r="O130" s="491"/>
      <c r="P130" s="491"/>
      <c r="Q130" s="491"/>
      <c r="R130" s="213"/>
      <c r="S130" s="215"/>
      <c r="T130" s="216"/>
      <c r="U130" s="214"/>
      <c r="V130" s="491"/>
      <c r="W130" s="491"/>
      <c r="X130" s="491"/>
      <c r="Y130" s="491"/>
      <c r="Z130" s="491"/>
      <c r="AA130" s="491"/>
      <c r="AB130" s="491"/>
      <c r="AC130" s="491"/>
      <c r="AD130" s="491"/>
      <c r="AE130" s="491"/>
      <c r="AF130" s="491"/>
      <c r="AG130" s="491"/>
      <c r="AH130" s="193"/>
    </row>
    <row r="131" spans="1:34" x14ac:dyDescent="0.25">
      <c r="A131" s="193"/>
      <c r="B131" s="491"/>
      <c r="C131" s="491"/>
      <c r="D131" s="491"/>
      <c r="E131" s="491"/>
      <c r="F131" s="495"/>
      <c r="G131" s="230"/>
      <c r="H131" s="491"/>
      <c r="I131" s="491"/>
      <c r="J131" s="491"/>
      <c r="K131" s="491"/>
      <c r="L131" s="491"/>
      <c r="M131" s="491"/>
      <c r="N131" s="491"/>
      <c r="O131" s="491"/>
      <c r="P131" s="491"/>
      <c r="Q131" s="491"/>
      <c r="R131" s="225">
        <f>K129/12</f>
        <v>0.5</v>
      </c>
      <c r="S131" s="218"/>
      <c r="T131" s="218"/>
      <c r="U131" s="219"/>
      <c r="V131" s="491"/>
      <c r="W131" s="491"/>
      <c r="X131" s="491"/>
      <c r="Y131" s="491"/>
      <c r="Z131" s="491"/>
      <c r="AA131" s="491"/>
      <c r="AB131" s="491"/>
      <c r="AC131" s="491"/>
      <c r="AD131" s="491"/>
      <c r="AE131" s="491"/>
      <c r="AF131" s="491"/>
      <c r="AG131" s="491"/>
      <c r="AH131" s="193"/>
    </row>
    <row r="132" spans="1:34" ht="15.75" thickBot="1" x14ac:dyDescent="0.3">
      <c r="A132" s="193"/>
      <c r="B132" s="491"/>
      <c r="C132" s="491"/>
      <c r="D132" s="491"/>
      <c r="E132" s="491"/>
      <c r="F132" s="495"/>
      <c r="G132" s="230"/>
      <c r="H132" s="491"/>
      <c r="I132" s="491"/>
      <c r="J132" s="491"/>
      <c r="K132" s="491"/>
      <c r="L132" s="491"/>
      <c r="M132" s="491"/>
      <c r="N132" s="491"/>
      <c r="O132" s="491"/>
      <c r="P132" s="491"/>
      <c r="Q132" s="491"/>
      <c r="R132" s="226"/>
      <c r="S132" s="220"/>
      <c r="T132" s="220"/>
      <c r="U132" s="214"/>
      <c r="V132" s="491"/>
      <c r="W132" s="491"/>
      <c r="X132" s="491"/>
      <c r="Y132" s="491"/>
      <c r="Z132" s="491"/>
      <c r="AA132" s="491"/>
      <c r="AB132" s="491"/>
      <c r="AC132" s="491"/>
      <c r="AD132" s="491"/>
      <c r="AE132" s="491"/>
      <c r="AF132" s="491"/>
      <c r="AG132" s="491"/>
      <c r="AH132" s="193"/>
    </row>
    <row r="133" spans="1:34" x14ac:dyDescent="0.25">
      <c r="A133" s="193"/>
      <c r="B133" s="492"/>
      <c r="C133" s="492"/>
      <c r="D133" s="491"/>
      <c r="E133" s="491"/>
      <c r="F133" s="496"/>
      <c r="G133" s="231"/>
      <c r="H133" s="492"/>
      <c r="I133" s="492"/>
      <c r="J133" s="492"/>
      <c r="K133" s="492"/>
      <c r="L133" s="492"/>
      <c r="M133" s="492"/>
      <c r="N133" s="492"/>
      <c r="O133" s="492"/>
      <c r="P133" s="492"/>
      <c r="Q133" s="492"/>
      <c r="R133" s="221"/>
      <c r="S133" s="493">
        <f>+SUM(L129:M133)/12</f>
        <v>14.833333333333334</v>
      </c>
      <c r="T133" s="493"/>
      <c r="U133" s="222"/>
      <c r="V133" s="492"/>
      <c r="W133" s="492"/>
      <c r="X133" s="492"/>
      <c r="Y133" s="492"/>
      <c r="Z133" s="492"/>
      <c r="AA133" s="492"/>
      <c r="AB133" s="492"/>
      <c r="AC133" s="492"/>
      <c r="AD133" s="492"/>
      <c r="AE133" s="492"/>
      <c r="AF133" s="492"/>
      <c r="AG133" s="492"/>
      <c r="AH133" s="193"/>
    </row>
    <row r="134" spans="1:34" x14ac:dyDescent="0.25">
      <c r="A134" s="193"/>
      <c r="B134" s="490"/>
      <c r="C134" s="490" t="s">
        <v>286</v>
      </c>
      <c r="D134" s="490">
        <v>5</v>
      </c>
      <c r="E134" s="490">
        <v>0.625</v>
      </c>
      <c r="F134" s="494">
        <v>16</v>
      </c>
      <c r="G134" s="229"/>
      <c r="H134" s="490"/>
      <c r="I134" s="490">
        <f>ROUNDUP(M129/F134,0)</f>
        <v>9</v>
      </c>
      <c r="J134" s="490">
        <v>1</v>
      </c>
      <c r="K134" s="490"/>
      <c r="L134" s="490">
        <f>G117-2-2</f>
        <v>119.96000000000001</v>
      </c>
      <c r="M134" s="490"/>
      <c r="N134" s="490"/>
      <c r="O134" s="490"/>
      <c r="P134" s="490"/>
      <c r="Q134" s="490"/>
      <c r="R134" s="213"/>
      <c r="S134" s="498"/>
      <c r="T134" s="498"/>
      <c r="U134" s="214"/>
      <c r="V134" s="490">
        <f>SUM(R134:U138)</f>
        <v>9.9966666666666679</v>
      </c>
      <c r="W134" s="490">
        <f>+SUM(K134:Q138)</f>
        <v>119.96000000000001</v>
      </c>
      <c r="X134" s="490">
        <f>(+I134*J134*W134)/12</f>
        <v>89.970000000000013</v>
      </c>
      <c r="Y134" s="490">
        <f t="shared" ref="Y134:AF134" si="23">IF(Y$4=$D134,$X134*Y$5,0)</f>
        <v>0</v>
      </c>
      <c r="Z134" s="490">
        <f t="shared" si="23"/>
        <v>0</v>
      </c>
      <c r="AA134" s="490">
        <f t="shared" si="23"/>
        <v>93.838710000000006</v>
      </c>
      <c r="AB134" s="490">
        <f t="shared" si="23"/>
        <v>0</v>
      </c>
      <c r="AC134" s="490">
        <f t="shared" si="23"/>
        <v>0</v>
      </c>
      <c r="AD134" s="490">
        <f t="shared" si="23"/>
        <v>0</v>
      </c>
      <c r="AE134" s="490">
        <f t="shared" si="23"/>
        <v>0</v>
      </c>
      <c r="AF134" s="490">
        <f t="shared" si="23"/>
        <v>0</v>
      </c>
      <c r="AG134" s="490"/>
      <c r="AH134" s="193"/>
    </row>
    <row r="135" spans="1:34" x14ac:dyDescent="0.25">
      <c r="A135" s="193"/>
      <c r="B135" s="491"/>
      <c r="C135" s="491"/>
      <c r="D135" s="491"/>
      <c r="E135" s="491"/>
      <c r="F135" s="495"/>
      <c r="G135" s="230"/>
      <c r="H135" s="491"/>
      <c r="I135" s="491"/>
      <c r="J135" s="491"/>
      <c r="K135" s="491"/>
      <c r="L135" s="491"/>
      <c r="M135" s="491"/>
      <c r="N135" s="491"/>
      <c r="O135" s="491"/>
      <c r="P135" s="491"/>
      <c r="Q135" s="491"/>
      <c r="R135" s="213"/>
      <c r="S135" s="215"/>
      <c r="T135" s="216"/>
      <c r="U135" s="214"/>
      <c r="V135" s="491"/>
      <c r="W135" s="491"/>
      <c r="X135" s="491"/>
      <c r="Y135" s="491"/>
      <c r="Z135" s="491"/>
      <c r="AA135" s="491"/>
      <c r="AB135" s="491"/>
      <c r="AC135" s="491"/>
      <c r="AD135" s="491"/>
      <c r="AE135" s="491"/>
      <c r="AF135" s="491"/>
      <c r="AG135" s="491"/>
      <c r="AH135" s="193"/>
    </row>
    <row r="136" spans="1:34" x14ac:dyDescent="0.25">
      <c r="A136" s="193"/>
      <c r="B136" s="491"/>
      <c r="C136" s="491"/>
      <c r="D136" s="491"/>
      <c r="E136" s="491"/>
      <c r="F136" s="495"/>
      <c r="G136" s="230"/>
      <c r="H136" s="491"/>
      <c r="I136" s="491"/>
      <c r="J136" s="491"/>
      <c r="K136" s="491"/>
      <c r="L136" s="491"/>
      <c r="M136" s="491"/>
      <c r="N136" s="491"/>
      <c r="O136" s="491"/>
      <c r="P136" s="491"/>
      <c r="Q136" s="497"/>
      <c r="R136" s="217"/>
      <c r="S136" s="218"/>
      <c r="T136" s="218"/>
      <c r="U136" s="219"/>
      <c r="V136" s="491"/>
      <c r="W136" s="491"/>
      <c r="X136" s="491"/>
      <c r="Y136" s="491"/>
      <c r="Z136" s="491"/>
      <c r="AA136" s="491"/>
      <c r="AB136" s="491"/>
      <c r="AC136" s="491"/>
      <c r="AD136" s="491"/>
      <c r="AE136" s="491"/>
      <c r="AF136" s="491"/>
      <c r="AG136" s="491"/>
      <c r="AH136" s="193"/>
    </row>
    <row r="137" spans="1:34" ht="15.75" thickBot="1" x14ac:dyDescent="0.3">
      <c r="A137" s="193"/>
      <c r="B137" s="491"/>
      <c r="C137" s="491"/>
      <c r="D137" s="491"/>
      <c r="E137" s="491"/>
      <c r="F137" s="495"/>
      <c r="G137" s="230"/>
      <c r="H137" s="491"/>
      <c r="I137" s="491"/>
      <c r="J137" s="491"/>
      <c r="K137" s="491"/>
      <c r="L137" s="491"/>
      <c r="M137" s="491"/>
      <c r="N137" s="491"/>
      <c r="O137" s="491"/>
      <c r="P137" s="491"/>
      <c r="Q137" s="497"/>
      <c r="R137" s="213"/>
      <c r="S137" s="220"/>
      <c r="T137" s="220"/>
      <c r="U137" s="214"/>
      <c r="V137" s="491"/>
      <c r="W137" s="491"/>
      <c r="X137" s="491"/>
      <c r="Y137" s="491"/>
      <c r="Z137" s="491"/>
      <c r="AA137" s="491"/>
      <c r="AB137" s="491"/>
      <c r="AC137" s="491"/>
      <c r="AD137" s="491"/>
      <c r="AE137" s="491"/>
      <c r="AF137" s="491"/>
      <c r="AG137" s="491"/>
      <c r="AH137" s="193"/>
    </row>
    <row r="138" spans="1:34" x14ac:dyDescent="0.25">
      <c r="A138" s="193"/>
      <c r="B138" s="492"/>
      <c r="C138" s="492"/>
      <c r="D138" s="491"/>
      <c r="E138" s="491"/>
      <c r="F138" s="496"/>
      <c r="G138" s="231"/>
      <c r="H138" s="492"/>
      <c r="I138" s="492"/>
      <c r="J138" s="492"/>
      <c r="K138" s="492"/>
      <c r="L138" s="492"/>
      <c r="M138" s="492"/>
      <c r="N138" s="492"/>
      <c r="O138" s="492"/>
      <c r="P138" s="492"/>
      <c r="Q138" s="492"/>
      <c r="R138" s="221"/>
      <c r="S138" s="493">
        <f>L134/12</f>
        <v>9.9966666666666679</v>
      </c>
      <c r="T138" s="493"/>
      <c r="U138" s="222"/>
      <c r="V138" s="492"/>
      <c r="W138" s="492"/>
      <c r="X138" s="492"/>
      <c r="Y138" s="492"/>
      <c r="Z138" s="492"/>
      <c r="AA138" s="492"/>
      <c r="AB138" s="492"/>
      <c r="AC138" s="492"/>
      <c r="AD138" s="492"/>
      <c r="AE138" s="492"/>
      <c r="AF138" s="492"/>
      <c r="AG138" s="492"/>
      <c r="AH138" s="193"/>
    </row>
    <row r="139" spans="1:34" ht="15.75" thickBot="1" x14ac:dyDescent="0.3">
      <c r="A139" s="195"/>
      <c r="B139" s="200" t="s">
        <v>292</v>
      </c>
      <c r="C139" s="199" t="s">
        <v>264</v>
      </c>
      <c r="D139" s="197">
        <v>60</v>
      </c>
      <c r="E139" s="201">
        <v>8</v>
      </c>
      <c r="F139" s="202"/>
      <c r="G139" s="202">
        <f>10.33*12</f>
        <v>123.96000000000001</v>
      </c>
      <c r="H139" s="202">
        <v>20</v>
      </c>
      <c r="I139" s="202">
        <v>12</v>
      </c>
      <c r="J139" s="202">
        <v>12</v>
      </c>
      <c r="K139" s="199"/>
      <c r="L139" s="199"/>
      <c r="M139" s="199"/>
      <c r="N139" s="199"/>
      <c r="O139" s="199"/>
      <c r="P139" s="199"/>
      <c r="Q139" s="198"/>
      <c r="R139" s="196"/>
      <c r="S139" s="196"/>
      <c r="T139" s="196"/>
      <c r="U139" s="196"/>
      <c r="V139" s="203"/>
      <c r="W139" s="202"/>
      <c r="X139" s="202"/>
      <c r="Y139" s="199"/>
      <c r="Z139" s="199"/>
      <c r="AA139" s="199"/>
      <c r="AB139" s="199"/>
      <c r="AC139" s="199"/>
      <c r="AD139" s="199"/>
      <c r="AE139" s="199"/>
      <c r="AF139" s="199"/>
      <c r="AG139" s="199"/>
      <c r="AH139" s="195"/>
    </row>
    <row r="140" spans="1:34" ht="15.75" thickBot="1" x14ac:dyDescent="0.3">
      <c r="A140" s="193"/>
      <c r="B140" s="204"/>
      <c r="C140" s="205"/>
      <c r="D140" s="194"/>
      <c r="E140" s="206"/>
      <c r="F140" s="205"/>
      <c r="G140" s="205"/>
      <c r="H140" s="207">
        <v>3</v>
      </c>
      <c r="I140" s="207">
        <v>2</v>
      </c>
      <c r="J140" s="205"/>
      <c r="K140" s="205"/>
      <c r="L140" s="205"/>
      <c r="M140" s="205"/>
      <c r="N140" s="205"/>
      <c r="O140" s="205"/>
      <c r="P140" s="205"/>
      <c r="Q140" s="208"/>
      <c r="R140" s="209"/>
      <c r="S140" s="210"/>
      <c r="T140" s="210"/>
      <c r="U140" s="211"/>
      <c r="V140" s="212"/>
      <c r="W140" s="204"/>
      <c r="X140" s="204"/>
      <c r="Y140" s="205"/>
      <c r="Z140" s="205"/>
      <c r="AA140" s="205"/>
      <c r="AB140" s="205"/>
      <c r="AC140" s="205"/>
      <c r="AD140" s="205"/>
      <c r="AE140" s="205"/>
      <c r="AF140" s="205"/>
      <c r="AG140" s="205"/>
      <c r="AH140" s="193"/>
    </row>
    <row r="141" spans="1:34" x14ac:dyDescent="0.25">
      <c r="A141" s="193"/>
      <c r="B141" s="490"/>
      <c r="C141" s="499" t="s">
        <v>265</v>
      </c>
      <c r="D141" s="490">
        <v>5</v>
      </c>
      <c r="E141" s="490">
        <v>0.625</v>
      </c>
      <c r="F141" s="490"/>
      <c r="G141" s="490">
        <f>G139</f>
        <v>123.96000000000001</v>
      </c>
      <c r="H141" s="490"/>
      <c r="I141" s="490">
        <v>2</v>
      </c>
      <c r="J141" s="490">
        <v>1</v>
      </c>
      <c r="K141" s="490"/>
      <c r="L141" s="490">
        <f>G139-2-2</f>
        <v>119.96000000000001</v>
      </c>
      <c r="M141" s="490"/>
      <c r="N141" s="490"/>
      <c r="O141" s="490"/>
      <c r="P141" s="490"/>
      <c r="Q141" s="490"/>
      <c r="R141" s="213"/>
      <c r="S141" s="502"/>
      <c r="T141" s="502"/>
      <c r="U141" s="214"/>
      <c r="V141" s="490">
        <f>SUM(R141:U145)</f>
        <v>9.9966666666666679</v>
      </c>
      <c r="W141" s="490">
        <f>+SUM(K141:Q145)</f>
        <v>119.96000000000001</v>
      </c>
      <c r="X141" s="490">
        <f>(+I141*J141*W141)/12</f>
        <v>19.993333333333336</v>
      </c>
      <c r="Y141" s="490">
        <f>IF(Y$4=$D141,$X141*Y$5,0)</f>
        <v>0</v>
      </c>
      <c r="Z141" s="490">
        <f t="shared" ref="Z141:AF141" si="24">IF(Z$4=$D141,$X141*Z$5,0)</f>
        <v>0</v>
      </c>
      <c r="AA141" s="490">
        <f t="shared" si="24"/>
        <v>20.853046666666668</v>
      </c>
      <c r="AB141" s="490">
        <f t="shared" si="24"/>
        <v>0</v>
      </c>
      <c r="AC141" s="490">
        <f t="shared" si="24"/>
        <v>0</v>
      </c>
      <c r="AD141" s="490">
        <f t="shared" si="24"/>
        <v>0</v>
      </c>
      <c r="AE141" s="490">
        <f t="shared" si="24"/>
        <v>0</v>
      </c>
      <c r="AF141" s="490">
        <f t="shared" si="24"/>
        <v>0</v>
      </c>
      <c r="AG141" s="490"/>
      <c r="AH141" s="193"/>
    </row>
    <row r="142" spans="1:34" x14ac:dyDescent="0.25">
      <c r="A142" s="193"/>
      <c r="B142" s="491"/>
      <c r="C142" s="500"/>
      <c r="D142" s="491"/>
      <c r="E142" s="491"/>
      <c r="F142" s="491"/>
      <c r="G142" s="491"/>
      <c r="H142" s="491"/>
      <c r="I142" s="491"/>
      <c r="J142" s="491"/>
      <c r="K142" s="491"/>
      <c r="L142" s="491"/>
      <c r="M142" s="491"/>
      <c r="N142" s="491"/>
      <c r="O142" s="491"/>
      <c r="P142" s="491"/>
      <c r="Q142" s="491"/>
      <c r="R142" s="213"/>
      <c r="S142" s="215"/>
      <c r="T142" s="216"/>
      <c r="U142" s="214"/>
      <c r="V142" s="491"/>
      <c r="W142" s="491"/>
      <c r="X142" s="491"/>
      <c r="Y142" s="491"/>
      <c r="Z142" s="491"/>
      <c r="AA142" s="491"/>
      <c r="AB142" s="491"/>
      <c r="AC142" s="491"/>
      <c r="AD142" s="491"/>
      <c r="AE142" s="491"/>
      <c r="AF142" s="491"/>
      <c r="AG142" s="491"/>
      <c r="AH142" s="193"/>
    </row>
    <row r="143" spans="1:34" x14ac:dyDescent="0.25">
      <c r="A143" s="193"/>
      <c r="B143" s="491"/>
      <c r="C143" s="500"/>
      <c r="D143" s="491"/>
      <c r="E143" s="491"/>
      <c r="F143" s="491"/>
      <c r="G143" s="491"/>
      <c r="H143" s="491"/>
      <c r="I143" s="491"/>
      <c r="J143" s="491"/>
      <c r="K143" s="491"/>
      <c r="L143" s="491"/>
      <c r="M143" s="491"/>
      <c r="N143" s="491"/>
      <c r="O143" s="491"/>
      <c r="P143" s="491"/>
      <c r="Q143" s="491"/>
      <c r="R143" s="217"/>
      <c r="S143" s="218"/>
      <c r="T143" s="218"/>
      <c r="U143" s="219"/>
      <c r="V143" s="491"/>
      <c r="W143" s="491"/>
      <c r="X143" s="491"/>
      <c r="Y143" s="491"/>
      <c r="Z143" s="491"/>
      <c r="AA143" s="491"/>
      <c r="AB143" s="491"/>
      <c r="AC143" s="491"/>
      <c r="AD143" s="491"/>
      <c r="AE143" s="491"/>
      <c r="AF143" s="491"/>
      <c r="AG143" s="491"/>
      <c r="AH143" s="193"/>
    </row>
    <row r="144" spans="1:34" ht="15.75" thickBot="1" x14ac:dyDescent="0.3">
      <c r="A144" s="193"/>
      <c r="B144" s="491"/>
      <c r="C144" s="500"/>
      <c r="D144" s="491"/>
      <c r="E144" s="491"/>
      <c r="F144" s="491"/>
      <c r="G144" s="491"/>
      <c r="H144" s="491"/>
      <c r="I144" s="491"/>
      <c r="J144" s="491"/>
      <c r="K144" s="491"/>
      <c r="L144" s="491"/>
      <c r="M144" s="491"/>
      <c r="N144" s="491"/>
      <c r="O144" s="491"/>
      <c r="P144" s="491"/>
      <c r="Q144" s="491"/>
      <c r="R144" s="213"/>
      <c r="S144" s="220"/>
      <c r="T144" s="220"/>
      <c r="U144" s="214"/>
      <c r="V144" s="491"/>
      <c r="W144" s="491"/>
      <c r="X144" s="491"/>
      <c r="Y144" s="491"/>
      <c r="Z144" s="491"/>
      <c r="AA144" s="491"/>
      <c r="AB144" s="491"/>
      <c r="AC144" s="491"/>
      <c r="AD144" s="491"/>
      <c r="AE144" s="491"/>
      <c r="AF144" s="491"/>
      <c r="AG144" s="491"/>
      <c r="AH144" s="193"/>
    </row>
    <row r="145" spans="1:34" x14ac:dyDescent="0.25">
      <c r="A145" s="193"/>
      <c r="B145" s="492"/>
      <c r="C145" s="501"/>
      <c r="D145" s="492"/>
      <c r="E145" s="492"/>
      <c r="F145" s="492"/>
      <c r="G145" s="492"/>
      <c r="H145" s="492"/>
      <c r="I145" s="492"/>
      <c r="J145" s="492"/>
      <c r="K145" s="492"/>
      <c r="L145" s="492"/>
      <c r="M145" s="492"/>
      <c r="N145" s="492"/>
      <c r="O145" s="492"/>
      <c r="P145" s="492"/>
      <c r="Q145" s="492"/>
      <c r="R145" s="221"/>
      <c r="S145" s="493">
        <f>L141/12</f>
        <v>9.9966666666666679</v>
      </c>
      <c r="T145" s="493"/>
      <c r="U145" s="222"/>
      <c r="V145" s="492"/>
      <c r="W145" s="492"/>
      <c r="X145" s="492"/>
      <c r="Y145" s="492"/>
      <c r="Z145" s="492"/>
      <c r="AA145" s="492"/>
      <c r="AB145" s="492"/>
      <c r="AC145" s="492"/>
      <c r="AD145" s="492"/>
      <c r="AE145" s="492"/>
      <c r="AF145" s="492"/>
      <c r="AG145" s="492"/>
      <c r="AH145" s="193"/>
    </row>
    <row r="146" spans="1:34" x14ac:dyDescent="0.25">
      <c r="A146" s="193"/>
      <c r="B146" s="490"/>
      <c r="C146" s="499" t="s">
        <v>271</v>
      </c>
      <c r="D146" s="490">
        <v>5</v>
      </c>
      <c r="E146" s="490">
        <v>0.625</v>
      </c>
      <c r="F146" s="490"/>
      <c r="G146" s="490"/>
      <c r="H146" s="490"/>
      <c r="I146" s="490">
        <v>2</v>
      </c>
      <c r="J146" s="490">
        <v>2</v>
      </c>
      <c r="K146" s="490">
        <v>30</v>
      </c>
      <c r="L146" s="490">
        <v>30</v>
      </c>
      <c r="M146" s="490"/>
      <c r="N146" s="490"/>
      <c r="O146" s="490"/>
      <c r="P146" s="490"/>
      <c r="Q146" s="490"/>
      <c r="R146" s="213"/>
      <c r="S146" s="498"/>
      <c r="T146" s="498"/>
      <c r="U146" s="214"/>
      <c r="V146" s="490">
        <f>SUM(R146:U150)</f>
        <v>5</v>
      </c>
      <c r="W146" s="490">
        <f>+SUM(K146:Q150)</f>
        <v>60</v>
      </c>
      <c r="X146" s="490">
        <f>(+I146*J146*W146)/12</f>
        <v>20</v>
      </c>
      <c r="Y146" s="490">
        <f t="shared" ref="Y146:AF146" si="25">IF(Y$4=$D146,$X146*Y$5,0)</f>
        <v>0</v>
      </c>
      <c r="Z146" s="490">
        <f t="shared" si="25"/>
        <v>0</v>
      </c>
      <c r="AA146" s="490">
        <f t="shared" si="25"/>
        <v>20.86</v>
      </c>
      <c r="AB146" s="490">
        <f t="shared" si="25"/>
        <v>0</v>
      </c>
      <c r="AC146" s="490">
        <f t="shared" si="25"/>
        <v>0</v>
      </c>
      <c r="AD146" s="490">
        <f t="shared" si="25"/>
        <v>0</v>
      </c>
      <c r="AE146" s="490">
        <f t="shared" si="25"/>
        <v>0</v>
      </c>
      <c r="AF146" s="490">
        <f t="shared" si="25"/>
        <v>0</v>
      </c>
      <c r="AG146" s="490"/>
      <c r="AH146" s="193"/>
    </row>
    <row r="147" spans="1:34" x14ac:dyDescent="0.25">
      <c r="A147" s="193"/>
      <c r="B147" s="491"/>
      <c r="C147" s="500"/>
      <c r="D147" s="491"/>
      <c r="E147" s="491"/>
      <c r="F147" s="491"/>
      <c r="G147" s="491"/>
      <c r="H147" s="491"/>
      <c r="I147" s="491"/>
      <c r="J147" s="491"/>
      <c r="K147" s="491"/>
      <c r="L147" s="491"/>
      <c r="M147" s="491"/>
      <c r="N147" s="491"/>
      <c r="O147" s="491"/>
      <c r="P147" s="491"/>
      <c r="Q147" s="491"/>
      <c r="R147" s="213"/>
      <c r="S147" s="215"/>
      <c r="T147" s="216"/>
      <c r="U147" s="214"/>
      <c r="V147" s="491"/>
      <c r="W147" s="491"/>
      <c r="X147" s="491"/>
      <c r="Y147" s="491"/>
      <c r="Z147" s="491"/>
      <c r="AA147" s="491"/>
      <c r="AB147" s="491"/>
      <c r="AC147" s="491"/>
      <c r="AD147" s="491"/>
      <c r="AE147" s="491"/>
      <c r="AF147" s="491"/>
      <c r="AG147" s="491"/>
      <c r="AH147" s="193"/>
    </row>
    <row r="148" spans="1:34" x14ac:dyDescent="0.25">
      <c r="A148" s="193"/>
      <c r="B148" s="491"/>
      <c r="C148" s="500"/>
      <c r="D148" s="491"/>
      <c r="E148" s="491"/>
      <c r="F148" s="491"/>
      <c r="G148" s="491"/>
      <c r="H148" s="491"/>
      <c r="I148" s="491"/>
      <c r="J148" s="491"/>
      <c r="K148" s="491"/>
      <c r="L148" s="491"/>
      <c r="M148" s="491"/>
      <c r="N148" s="491"/>
      <c r="O148" s="491"/>
      <c r="P148" s="491"/>
      <c r="Q148" s="491"/>
      <c r="R148" s="217">
        <f>K146/12</f>
        <v>2.5</v>
      </c>
      <c r="S148" s="223"/>
      <c r="T148" s="195"/>
      <c r="U148" s="219"/>
      <c r="V148" s="491"/>
      <c r="W148" s="491"/>
      <c r="X148" s="491"/>
      <c r="Y148" s="491"/>
      <c r="Z148" s="491"/>
      <c r="AA148" s="491"/>
      <c r="AB148" s="491"/>
      <c r="AC148" s="491"/>
      <c r="AD148" s="491"/>
      <c r="AE148" s="491"/>
      <c r="AF148" s="491"/>
      <c r="AG148" s="491"/>
      <c r="AH148" s="193"/>
    </row>
    <row r="149" spans="1:34" ht="15.75" thickBot="1" x14ac:dyDescent="0.3">
      <c r="A149" s="193"/>
      <c r="B149" s="491"/>
      <c r="C149" s="500"/>
      <c r="D149" s="491"/>
      <c r="E149" s="491"/>
      <c r="F149" s="491"/>
      <c r="G149" s="491"/>
      <c r="H149" s="491"/>
      <c r="I149" s="491"/>
      <c r="J149" s="491"/>
      <c r="K149" s="491"/>
      <c r="L149" s="491"/>
      <c r="M149" s="491"/>
      <c r="N149" s="491"/>
      <c r="O149" s="491"/>
      <c r="P149" s="491"/>
      <c r="Q149" s="491"/>
      <c r="R149" s="213"/>
      <c r="S149" s="224"/>
      <c r="T149" s="220"/>
      <c r="U149" s="214"/>
      <c r="V149" s="491"/>
      <c r="W149" s="491"/>
      <c r="X149" s="491"/>
      <c r="Y149" s="491"/>
      <c r="Z149" s="491"/>
      <c r="AA149" s="491"/>
      <c r="AB149" s="491"/>
      <c r="AC149" s="491"/>
      <c r="AD149" s="491"/>
      <c r="AE149" s="491"/>
      <c r="AF149" s="491"/>
      <c r="AG149" s="491"/>
      <c r="AH149" s="193"/>
    </row>
    <row r="150" spans="1:34" x14ac:dyDescent="0.25">
      <c r="A150" s="193"/>
      <c r="B150" s="492"/>
      <c r="C150" s="501"/>
      <c r="D150" s="492"/>
      <c r="E150" s="492"/>
      <c r="F150" s="492"/>
      <c r="G150" s="492"/>
      <c r="H150" s="492"/>
      <c r="I150" s="492"/>
      <c r="J150" s="492"/>
      <c r="K150" s="492"/>
      <c r="L150" s="492"/>
      <c r="M150" s="492"/>
      <c r="N150" s="492"/>
      <c r="O150" s="492"/>
      <c r="P150" s="492"/>
      <c r="Q150" s="492"/>
      <c r="R150" s="221"/>
      <c r="S150" s="493">
        <f>L146/12</f>
        <v>2.5</v>
      </c>
      <c r="T150" s="493"/>
      <c r="U150" s="222"/>
      <c r="V150" s="492"/>
      <c r="W150" s="492"/>
      <c r="X150" s="492"/>
      <c r="Y150" s="492"/>
      <c r="Z150" s="492"/>
      <c r="AA150" s="492"/>
      <c r="AB150" s="492"/>
      <c r="AC150" s="492"/>
      <c r="AD150" s="492"/>
      <c r="AE150" s="492"/>
      <c r="AF150" s="492"/>
      <c r="AG150" s="492"/>
      <c r="AH150" s="193"/>
    </row>
    <row r="151" spans="1:34" x14ac:dyDescent="0.25">
      <c r="A151" s="193"/>
      <c r="B151" s="490"/>
      <c r="C151" s="490" t="s">
        <v>277</v>
      </c>
      <c r="D151" s="490">
        <v>5</v>
      </c>
      <c r="E151" s="490">
        <v>0.625</v>
      </c>
      <c r="F151" s="494">
        <v>16</v>
      </c>
      <c r="G151" s="229"/>
      <c r="H151" s="490"/>
      <c r="I151" s="490">
        <f>ROUNDUP(G141/F151,0)</f>
        <v>8</v>
      </c>
      <c r="J151" s="490">
        <v>1</v>
      </c>
      <c r="K151" s="490">
        <v>6</v>
      </c>
      <c r="L151" s="490">
        <f>4*12-2</f>
        <v>46</v>
      </c>
      <c r="M151" s="490">
        <f>11*12</f>
        <v>132</v>
      </c>
      <c r="N151" s="490"/>
      <c r="O151" s="490"/>
      <c r="P151" s="490"/>
      <c r="Q151" s="490"/>
      <c r="R151" s="213"/>
      <c r="S151" s="498"/>
      <c r="T151" s="498"/>
      <c r="U151" s="214"/>
      <c r="V151" s="490">
        <f>SUM(R151:U155)</f>
        <v>15.333333333333334</v>
      </c>
      <c r="W151" s="490">
        <f>+SUM(K151:Q155)</f>
        <v>184</v>
      </c>
      <c r="X151" s="490">
        <f>(+I151*J151*W151)/12</f>
        <v>122.66666666666667</v>
      </c>
      <c r="Y151" s="490">
        <f t="shared" ref="Y151:AF151" si="26">IF(Y$4=$D151,$X151*Y$5,0)</f>
        <v>0</v>
      </c>
      <c r="Z151" s="490">
        <f t="shared" si="26"/>
        <v>0</v>
      </c>
      <c r="AA151" s="490">
        <f t="shared" si="26"/>
        <v>127.94133333333333</v>
      </c>
      <c r="AB151" s="490">
        <f t="shared" si="26"/>
        <v>0</v>
      </c>
      <c r="AC151" s="490">
        <f t="shared" si="26"/>
        <v>0</v>
      </c>
      <c r="AD151" s="490">
        <f t="shared" si="26"/>
        <v>0</v>
      </c>
      <c r="AE151" s="490">
        <f t="shared" si="26"/>
        <v>0</v>
      </c>
      <c r="AF151" s="490">
        <f t="shared" si="26"/>
        <v>0</v>
      </c>
      <c r="AG151" s="490"/>
      <c r="AH151" s="193"/>
    </row>
    <row r="152" spans="1:34" x14ac:dyDescent="0.25">
      <c r="A152" s="193"/>
      <c r="B152" s="491"/>
      <c r="C152" s="491"/>
      <c r="D152" s="491"/>
      <c r="E152" s="491"/>
      <c r="F152" s="495"/>
      <c r="G152" s="230"/>
      <c r="H152" s="491"/>
      <c r="I152" s="491"/>
      <c r="J152" s="491"/>
      <c r="K152" s="491"/>
      <c r="L152" s="491"/>
      <c r="M152" s="491"/>
      <c r="N152" s="491"/>
      <c r="O152" s="491"/>
      <c r="P152" s="491"/>
      <c r="Q152" s="491"/>
      <c r="R152" s="213"/>
      <c r="S152" s="215"/>
      <c r="T152" s="216"/>
      <c r="U152" s="214"/>
      <c r="V152" s="491"/>
      <c r="W152" s="491"/>
      <c r="X152" s="491"/>
      <c r="Y152" s="491"/>
      <c r="Z152" s="491"/>
      <c r="AA152" s="491"/>
      <c r="AB152" s="491"/>
      <c r="AC152" s="491"/>
      <c r="AD152" s="491"/>
      <c r="AE152" s="491"/>
      <c r="AF152" s="491"/>
      <c r="AG152" s="491"/>
      <c r="AH152" s="193"/>
    </row>
    <row r="153" spans="1:34" x14ac:dyDescent="0.25">
      <c r="A153" s="193"/>
      <c r="B153" s="491"/>
      <c r="C153" s="491"/>
      <c r="D153" s="491"/>
      <c r="E153" s="491"/>
      <c r="F153" s="495"/>
      <c r="G153" s="230"/>
      <c r="H153" s="491"/>
      <c r="I153" s="491"/>
      <c r="J153" s="491"/>
      <c r="K153" s="491"/>
      <c r="L153" s="491"/>
      <c r="M153" s="491"/>
      <c r="N153" s="491"/>
      <c r="O153" s="491"/>
      <c r="P153" s="491"/>
      <c r="Q153" s="491"/>
      <c r="R153" s="225">
        <f>K151/12</f>
        <v>0.5</v>
      </c>
      <c r="S153" s="218"/>
      <c r="T153" s="218"/>
      <c r="U153" s="219"/>
      <c r="V153" s="491"/>
      <c r="W153" s="491"/>
      <c r="X153" s="491"/>
      <c r="Y153" s="491"/>
      <c r="Z153" s="491"/>
      <c r="AA153" s="491"/>
      <c r="AB153" s="491"/>
      <c r="AC153" s="491"/>
      <c r="AD153" s="491"/>
      <c r="AE153" s="491"/>
      <c r="AF153" s="491"/>
      <c r="AG153" s="491"/>
      <c r="AH153" s="193"/>
    </row>
    <row r="154" spans="1:34" ht="15.75" thickBot="1" x14ac:dyDescent="0.3">
      <c r="A154" s="193"/>
      <c r="B154" s="491"/>
      <c r="C154" s="491"/>
      <c r="D154" s="491"/>
      <c r="E154" s="491"/>
      <c r="F154" s="495"/>
      <c r="G154" s="230"/>
      <c r="H154" s="491"/>
      <c r="I154" s="491"/>
      <c r="J154" s="491"/>
      <c r="K154" s="491"/>
      <c r="L154" s="491"/>
      <c r="M154" s="491"/>
      <c r="N154" s="491"/>
      <c r="O154" s="491"/>
      <c r="P154" s="491"/>
      <c r="Q154" s="491"/>
      <c r="R154" s="226"/>
      <c r="S154" s="220"/>
      <c r="T154" s="220"/>
      <c r="U154" s="214"/>
      <c r="V154" s="491"/>
      <c r="W154" s="491"/>
      <c r="X154" s="491"/>
      <c r="Y154" s="491"/>
      <c r="Z154" s="491"/>
      <c r="AA154" s="491"/>
      <c r="AB154" s="491"/>
      <c r="AC154" s="491"/>
      <c r="AD154" s="491"/>
      <c r="AE154" s="491"/>
      <c r="AF154" s="491"/>
      <c r="AG154" s="491"/>
      <c r="AH154" s="193"/>
    </row>
    <row r="155" spans="1:34" x14ac:dyDescent="0.25">
      <c r="A155" s="193"/>
      <c r="B155" s="492"/>
      <c r="C155" s="492"/>
      <c r="D155" s="491"/>
      <c r="E155" s="491"/>
      <c r="F155" s="496"/>
      <c r="G155" s="231"/>
      <c r="H155" s="492"/>
      <c r="I155" s="492"/>
      <c r="J155" s="492"/>
      <c r="K155" s="492"/>
      <c r="L155" s="492"/>
      <c r="M155" s="492"/>
      <c r="N155" s="492"/>
      <c r="O155" s="492"/>
      <c r="P155" s="492"/>
      <c r="Q155" s="492"/>
      <c r="R155" s="221"/>
      <c r="S155" s="493">
        <f>+SUM(L151:M155)/12</f>
        <v>14.833333333333334</v>
      </c>
      <c r="T155" s="493"/>
      <c r="U155" s="222"/>
      <c r="V155" s="492"/>
      <c r="W155" s="492"/>
      <c r="X155" s="492"/>
      <c r="Y155" s="492"/>
      <c r="Z155" s="492"/>
      <c r="AA155" s="492"/>
      <c r="AB155" s="492"/>
      <c r="AC155" s="492"/>
      <c r="AD155" s="492"/>
      <c r="AE155" s="492"/>
      <c r="AF155" s="492"/>
      <c r="AG155" s="492"/>
      <c r="AH155" s="193"/>
    </row>
    <row r="156" spans="1:34" x14ac:dyDescent="0.25">
      <c r="A156" s="193"/>
      <c r="B156" s="490"/>
      <c r="C156" s="490" t="s">
        <v>286</v>
      </c>
      <c r="D156" s="490">
        <v>5</v>
      </c>
      <c r="E156" s="490">
        <v>0.625</v>
      </c>
      <c r="F156" s="494">
        <v>16</v>
      </c>
      <c r="G156" s="229"/>
      <c r="H156" s="490"/>
      <c r="I156" s="490">
        <f>ROUNDUP(M151/F156,0)</f>
        <v>9</v>
      </c>
      <c r="J156" s="490">
        <v>1</v>
      </c>
      <c r="K156" s="490"/>
      <c r="L156" s="490">
        <f>G139-2-2</f>
        <v>119.96000000000001</v>
      </c>
      <c r="M156" s="490"/>
      <c r="N156" s="490"/>
      <c r="O156" s="490"/>
      <c r="P156" s="490"/>
      <c r="Q156" s="490"/>
      <c r="R156" s="213"/>
      <c r="S156" s="498"/>
      <c r="T156" s="498"/>
      <c r="U156" s="214"/>
      <c r="V156" s="490">
        <f>SUM(R156:U160)</f>
        <v>9.9966666666666679</v>
      </c>
      <c r="W156" s="490">
        <f>+SUM(K156:Q160)</f>
        <v>119.96000000000001</v>
      </c>
      <c r="X156" s="490">
        <f>(+I156*J156*W156)/12</f>
        <v>89.970000000000013</v>
      </c>
      <c r="Y156" s="490">
        <f t="shared" ref="Y156:AF156" si="27">IF(Y$4=$D156,$X156*Y$5,0)</f>
        <v>0</v>
      </c>
      <c r="Z156" s="490">
        <f t="shared" si="27"/>
        <v>0</v>
      </c>
      <c r="AA156" s="490">
        <f t="shared" si="27"/>
        <v>93.838710000000006</v>
      </c>
      <c r="AB156" s="490">
        <f t="shared" si="27"/>
        <v>0</v>
      </c>
      <c r="AC156" s="490">
        <f t="shared" si="27"/>
        <v>0</v>
      </c>
      <c r="AD156" s="490">
        <f t="shared" si="27"/>
        <v>0</v>
      </c>
      <c r="AE156" s="490">
        <f t="shared" si="27"/>
        <v>0</v>
      </c>
      <c r="AF156" s="490">
        <f t="shared" si="27"/>
        <v>0</v>
      </c>
      <c r="AG156" s="490"/>
      <c r="AH156" s="193"/>
    </row>
    <row r="157" spans="1:34" x14ac:dyDescent="0.25">
      <c r="A157" s="193"/>
      <c r="B157" s="491"/>
      <c r="C157" s="491"/>
      <c r="D157" s="491"/>
      <c r="E157" s="491"/>
      <c r="F157" s="495"/>
      <c r="G157" s="230"/>
      <c r="H157" s="491"/>
      <c r="I157" s="491"/>
      <c r="J157" s="491"/>
      <c r="K157" s="491"/>
      <c r="L157" s="491"/>
      <c r="M157" s="491"/>
      <c r="N157" s="491"/>
      <c r="O157" s="491"/>
      <c r="P157" s="491"/>
      <c r="Q157" s="491"/>
      <c r="R157" s="213"/>
      <c r="S157" s="215"/>
      <c r="T157" s="216"/>
      <c r="U157" s="214"/>
      <c r="V157" s="491"/>
      <c r="W157" s="491"/>
      <c r="X157" s="491"/>
      <c r="Y157" s="491"/>
      <c r="Z157" s="491"/>
      <c r="AA157" s="491"/>
      <c r="AB157" s="491"/>
      <c r="AC157" s="491"/>
      <c r="AD157" s="491"/>
      <c r="AE157" s="491"/>
      <c r="AF157" s="491"/>
      <c r="AG157" s="491"/>
      <c r="AH157" s="193"/>
    </row>
    <row r="158" spans="1:34" x14ac:dyDescent="0.25">
      <c r="A158" s="193"/>
      <c r="B158" s="491"/>
      <c r="C158" s="491"/>
      <c r="D158" s="491"/>
      <c r="E158" s="491"/>
      <c r="F158" s="495"/>
      <c r="G158" s="230"/>
      <c r="H158" s="491"/>
      <c r="I158" s="491"/>
      <c r="J158" s="491"/>
      <c r="K158" s="491"/>
      <c r="L158" s="491"/>
      <c r="M158" s="491"/>
      <c r="N158" s="491"/>
      <c r="O158" s="491"/>
      <c r="P158" s="491"/>
      <c r="Q158" s="497"/>
      <c r="R158" s="217"/>
      <c r="S158" s="218"/>
      <c r="T158" s="218"/>
      <c r="U158" s="219"/>
      <c r="V158" s="491"/>
      <c r="W158" s="491"/>
      <c r="X158" s="491"/>
      <c r="Y158" s="491"/>
      <c r="Z158" s="491"/>
      <c r="AA158" s="491"/>
      <c r="AB158" s="491"/>
      <c r="AC158" s="491"/>
      <c r="AD158" s="491"/>
      <c r="AE158" s="491"/>
      <c r="AF158" s="491"/>
      <c r="AG158" s="491"/>
      <c r="AH158" s="193"/>
    </row>
    <row r="159" spans="1:34" ht="15.75" thickBot="1" x14ac:dyDescent="0.3">
      <c r="A159" s="193"/>
      <c r="B159" s="491"/>
      <c r="C159" s="491"/>
      <c r="D159" s="491"/>
      <c r="E159" s="491"/>
      <c r="F159" s="495"/>
      <c r="G159" s="230"/>
      <c r="H159" s="491"/>
      <c r="I159" s="491"/>
      <c r="J159" s="491"/>
      <c r="K159" s="491"/>
      <c r="L159" s="491"/>
      <c r="M159" s="491"/>
      <c r="N159" s="491"/>
      <c r="O159" s="491"/>
      <c r="P159" s="491"/>
      <c r="Q159" s="497"/>
      <c r="R159" s="213"/>
      <c r="S159" s="220"/>
      <c r="T159" s="220"/>
      <c r="U159" s="214"/>
      <c r="V159" s="491"/>
      <c r="W159" s="491"/>
      <c r="X159" s="491"/>
      <c r="Y159" s="491"/>
      <c r="Z159" s="491"/>
      <c r="AA159" s="491"/>
      <c r="AB159" s="491"/>
      <c r="AC159" s="491"/>
      <c r="AD159" s="491"/>
      <c r="AE159" s="491"/>
      <c r="AF159" s="491"/>
      <c r="AG159" s="491"/>
      <c r="AH159" s="193"/>
    </row>
    <row r="160" spans="1:34" x14ac:dyDescent="0.25">
      <c r="A160" s="193"/>
      <c r="B160" s="492"/>
      <c r="C160" s="492"/>
      <c r="D160" s="491"/>
      <c r="E160" s="491"/>
      <c r="F160" s="496"/>
      <c r="G160" s="231"/>
      <c r="H160" s="492"/>
      <c r="I160" s="492"/>
      <c r="J160" s="492"/>
      <c r="K160" s="492"/>
      <c r="L160" s="492"/>
      <c r="M160" s="492"/>
      <c r="N160" s="492"/>
      <c r="O160" s="492"/>
      <c r="P160" s="492"/>
      <c r="Q160" s="492"/>
      <c r="R160" s="221"/>
      <c r="S160" s="493">
        <f>L156/12</f>
        <v>9.9966666666666679</v>
      </c>
      <c r="T160" s="493"/>
      <c r="U160" s="222"/>
      <c r="V160" s="492"/>
      <c r="W160" s="492"/>
      <c r="X160" s="492"/>
      <c r="Y160" s="492"/>
      <c r="Z160" s="492"/>
      <c r="AA160" s="492"/>
      <c r="AB160" s="492"/>
      <c r="AC160" s="492"/>
      <c r="AD160" s="492"/>
      <c r="AE160" s="492"/>
      <c r="AF160" s="492"/>
      <c r="AG160" s="492"/>
      <c r="AH160" s="193"/>
    </row>
    <row r="161" spans="1:34" ht="15.75" thickBot="1" x14ac:dyDescent="0.3">
      <c r="A161" s="195"/>
      <c r="B161" s="200" t="s">
        <v>291</v>
      </c>
      <c r="C161" s="199" t="s">
        <v>264</v>
      </c>
      <c r="D161" s="197">
        <v>60</v>
      </c>
      <c r="E161" s="201">
        <v>8</v>
      </c>
      <c r="F161" s="202"/>
      <c r="G161" s="202">
        <f>16.33*12</f>
        <v>195.95999999999998</v>
      </c>
      <c r="H161" s="202">
        <v>20</v>
      </c>
      <c r="I161" s="202">
        <v>12</v>
      </c>
      <c r="J161" s="202">
        <v>12</v>
      </c>
      <c r="K161" s="199"/>
      <c r="L161" s="199"/>
      <c r="M161" s="199"/>
      <c r="N161" s="199"/>
      <c r="O161" s="199"/>
      <c r="P161" s="199"/>
      <c r="Q161" s="198"/>
      <c r="R161" s="196"/>
      <c r="S161" s="196"/>
      <c r="T161" s="196"/>
      <c r="U161" s="196"/>
      <c r="V161" s="203"/>
      <c r="W161" s="202"/>
      <c r="X161" s="202"/>
      <c r="Y161" s="199"/>
      <c r="Z161" s="199"/>
      <c r="AA161" s="199"/>
      <c r="AB161" s="199"/>
      <c r="AC161" s="199"/>
      <c r="AD161" s="199"/>
      <c r="AE161" s="199"/>
      <c r="AF161" s="199"/>
      <c r="AG161" s="199"/>
      <c r="AH161" s="195"/>
    </row>
    <row r="162" spans="1:34" ht="15.75" thickBot="1" x14ac:dyDescent="0.3">
      <c r="A162" s="193"/>
      <c r="B162" s="204"/>
      <c r="C162" s="205"/>
      <c r="D162" s="194"/>
      <c r="E162" s="206"/>
      <c r="F162" s="205"/>
      <c r="G162" s="205"/>
      <c r="H162" s="207">
        <v>3</v>
      </c>
      <c r="I162" s="207">
        <v>2</v>
      </c>
      <c r="J162" s="205"/>
      <c r="K162" s="205"/>
      <c r="L162" s="205"/>
      <c r="M162" s="205"/>
      <c r="N162" s="205"/>
      <c r="O162" s="205"/>
      <c r="P162" s="205"/>
      <c r="Q162" s="208"/>
      <c r="R162" s="209"/>
      <c r="S162" s="210"/>
      <c r="T162" s="210"/>
      <c r="U162" s="211"/>
      <c r="V162" s="212"/>
      <c r="W162" s="204"/>
      <c r="X162" s="204"/>
      <c r="Y162" s="205"/>
      <c r="Z162" s="205"/>
      <c r="AA162" s="205"/>
      <c r="AB162" s="205"/>
      <c r="AC162" s="205"/>
      <c r="AD162" s="205"/>
      <c r="AE162" s="205"/>
      <c r="AF162" s="205"/>
      <c r="AG162" s="205"/>
      <c r="AH162" s="193"/>
    </row>
    <row r="163" spans="1:34" x14ac:dyDescent="0.25">
      <c r="A163" s="193"/>
      <c r="B163" s="490"/>
      <c r="C163" s="499" t="s">
        <v>265</v>
      </c>
      <c r="D163" s="490">
        <v>5</v>
      </c>
      <c r="E163" s="490">
        <v>0.625</v>
      </c>
      <c r="F163" s="490"/>
      <c r="G163" s="490">
        <f>G161</f>
        <v>195.95999999999998</v>
      </c>
      <c r="H163" s="490"/>
      <c r="I163" s="490">
        <v>2</v>
      </c>
      <c r="J163" s="490">
        <v>1</v>
      </c>
      <c r="K163" s="490"/>
      <c r="L163" s="490">
        <f>G161-2-2</f>
        <v>191.95999999999998</v>
      </c>
      <c r="M163" s="490"/>
      <c r="N163" s="490"/>
      <c r="O163" s="490"/>
      <c r="P163" s="490"/>
      <c r="Q163" s="490"/>
      <c r="R163" s="213"/>
      <c r="S163" s="502"/>
      <c r="T163" s="502"/>
      <c r="U163" s="214"/>
      <c r="V163" s="490">
        <f>SUM(R163:U167)</f>
        <v>15.996666666666664</v>
      </c>
      <c r="W163" s="490">
        <f>+SUM(K163:Q167)</f>
        <v>191.95999999999998</v>
      </c>
      <c r="X163" s="490">
        <f>(+I163*J163*W163)/12</f>
        <v>31.993333333333329</v>
      </c>
      <c r="Y163" s="490">
        <f>IF(Y$4=$D163,$X163*Y$5,0)</f>
        <v>0</v>
      </c>
      <c r="Z163" s="490">
        <f t="shared" ref="Z163:AF163" si="28">IF(Z$4=$D163,$X163*Z$5,0)</f>
        <v>0</v>
      </c>
      <c r="AA163" s="490">
        <f t="shared" si="28"/>
        <v>33.369046666666662</v>
      </c>
      <c r="AB163" s="490">
        <f t="shared" si="28"/>
        <v>0</v>
      </c>
      <c r="AC163" s="490">
        <f t="shared" si="28"/>
        <v>0</v>
      </c>
      <c r="AD163" s="490">
        <f t="shared" si="28"/>
        <v>0</v>
      </c>
      <c r="AE163" s="490">
        <f t="shared" si="28"/>
        <v>0</v>
      </c>
      <c r="AF163" s="490">
        <f t="shared" si="28"/>
        <v>0</v>
      </c>
      <c r="AG163" s="490"/>
      <c r="AH163" s="193"/>
    </row>
    <row r="164" spans="1:34" x14ac:dyDescent="0.25">
      <c r="A164" s="193"/>
      <c r="B164" s="491"/>
      <c r="C164" s="500"/>
      <c r="D164" s="491"/>
      <c r="E164" s="491"/>
      <c r="F164" s="491"/>
      <c r="G164" s="491"/>
      <c r="H164" s="491"/>
      <c r="I164" s="491"/>
      <c r="J164" s="491"/>
      <c r="K164" s="491"/>
      <c r="L164" s="491"/>
      <c r="M164" s="491"/>
      <c r="N164" s="491"/>
      <c r="O164" s="491"/>
      <c r="P164" s="491"/>
      <c r="Q164" s="491"/>
      <c r="R164" s="213"/>
      <c r="S164" s="215"/>
      <c r="T164" s="216"/>
      <c r="U164" s="214"/>
      <c r="V164" s="491"/>
      <c r="W164" s="491"/>
      <c r="X164" s="491"/>
      <c r="Y164" s="491"/>
      <c r="Z164" s="491"/>
      <c r="AA164" s="491"/>
      <c r="AB164" s="491"/>
      <c r="AC164" s="491"/>
      <c r="AD164" s="491"/>
      <c r="AE164" s="491"/>
      <c r="AF164" s="491"/>
      <c r="AG164" s="491"/>
      <c r="AH164" s="193"/>
    </row>
    <row r="165" spans="1:34" x14ac:dyDescent="0.25">
      <c r="A165" s="193"/>
      <c r="B165" s="491"/>
      <c r="C165" s="500"/>
      <c r="D165" s="491"/>
      <c r="E165" s="491"/>
      <c r="F165" s="491"/>
      <c r="G165" s="491"/>
      <c r="H165" s="491"/>
      <c r="I165" s="491"/>
      <c r="J165" s="491"/>
      <c r="K165" s="491"/>
      <c r="L165" s="491"/>
      <c r="M165" s="491"/>
      <c r="N165" s="491"/>
      <c r="O165" s="491"/>
      <c r="P165" s="491"/>
      <c r="Q165" s="491"/>
      <c r="R165" s="217"/>
      <c r="S165" s="218"/>
      <c r="T165" s="218"/>
      <c r="U165" s="219"/>
      <c r="V165" s="491"/>
      <c r="W165" s="491"/>
      <c r="X165" s="491"/>
      <c r="Y165" s="491"/>
      <c r="Z165" s="491"/>
      <c r="AA165" s="491"/>
      <c r="AB165" s="491"/>
      <c r="AC165" s="491"/>
      <c r="AD165" s="491"/>
      <c r="AE165" s="491"/>
      <c r="AF165" s="491"/>
      <c r="AG165" s="491"/>
      <c r="AH165" s="193"/>
    </row>
    <row r="166" spans="1:34" ht="15.75" thickBot="1" x14ac:dyDescent="0.3">
      <c r="A166" s="193"/>
      <c r="B166" s="491"/>
      <c r="C166" s="500"/>
      <c r="D166" s="491"/>
      <c r="E166" s="491"/>
      <c r="F166" s="491"/>
      <c r="G166" s="491"/>
      <c r="H166" s="491"/>
      <c r="I166" s="491"/>
      <c r="J166" s="491"/>
      <c r="K166" s="491"/>
      <c r="L166" s="491"/>
      <c r="M166" s="491"/>
      <c r="N166" s="491"/>
      <c r="O166" s="491"/>
      <c r="P166" s="491"/>
      <c r="Q166" s="491"/>
      <c r="R166" s="213"/>
      <c r="S166" s="220"/>
      <c r="T166" s="220"/>
      <c r="U166" s="214"/>
      <c r="V166" s="491"/>
      <c r="W166" s="491"/>
      <c r="X166" s="491"/>
      <c r="Y166" s="491"/>
      <c r="Z166" s="491"/>
      <c r="AA166" s="491"/>
      <c r="AB166" s="491"/>
      <c r="AC166" s="491"/>
      <c r="AD166" s="491"/>
      <c r="AE166" s="491"/>
      <c r="AF166" s="491"/>
      <c r="AG166" s="491"/>
      <c r="AH166" s="193"/>
    </row>
    <row r="167" spans="1:34" x14ac:dyDescent="0.25">
      <c r="A167" s="193"/>
      <c r="B167" s="492"/>
      <c r="C167" s="501"/>
      <c r="D167" s="492"/>
      <c r="E167" s="492"/>
      <c r="F167" s="492"/>
      <c r="G167" s="492"/>
      <c r="H167" s="492"/>
      <c r="I167" s="492"/>
      <c r="J167" s="492"/>
      <c r="K167" s="492"/>
      <c r="L167" s="492"/>
      <c r="M167" s="492"/>
      <c r="N167" s="492"/>
      <c r="O167" s="492"/>
      <c r="P167" s="492"/>
      <c r="Q167" s="492"/>
      <c r="R167" s="221"/>
      <c r="S167" s="493">
        <f>L163/12</f>
        <v>15.996666666666664</v>
      </c>
      <c r="T167" s="493"/>
      <c r="U167" s="222"/>
      <c r="V167" s="492"/>
      <c r="W167" s="492"/>
      <c r="X167" s="492"/>
      <c r="Y167" s="492"/>
      <c r="Z167" s="492"/>
      <c r="AA167" s="492"/>
      <c r="AB167" s="492"/>
      <c r="AC167" s="492"/>
      <c r="AD167" s="492"/>
      <c r="AE167" s="492"/>
      <c r="AF167" s="492"/>
      <c r="AG167" s="492"/>
      <c r="AH167" s="193"/>
    </row>
    <row r="168" spans="1:34" x14ac:dyDescent="0.25">
      <c r="A168" s="193"/>
      <c r="B168" s="490"/>
      <c r="C168" s="499" t="s">
        <v>271</v>
      </c>
      <c r="D168" s="490">
        <v>5</v>
      </c>
      <c r="E168" s="490">
        <v>0.625</v>
      </c>
      <c r="F168" s="490"/>
      <c r="G168" s="490"/>
      <c r="H168" s="490"/>
      <c r="I168" s="490">
        <v>2</v>
      </c>
      <c r="J168" s="490">
        <v>2</v>
      </c>
      <c r="K168" s="490">
        <v>30</v>
      </c>
      <c r="L168" s="490">
        <v>30</v>
      </c>
      <c r="M168" s="490"/>
      <c r="N168" s="490"/>
      <c r="O168" s="490"/>
      <c r="P168" s="490"/>
      <c r="Q168" s="490"/>
      <c r="R168" s="213"/>
      <c r="S168" s="498"/>
      <c r="T168" s="498"/>
      <c r="U168" s="214"/>
      <c r="V168" s="490">
        <f>SUM(R168:U172)</f>
        <v>5</v>
      </c>
      <c r="W168" s="490">
        <f>+SUM(K168:Q172)</f>
        <v>60</v>
      </c>
      <c r="X168" s="490">
        <f>(+I168*J168*W168)/12</f>
        <v>20</v>
      </c>
      <c r="Y168" s="490">
        <f t="shared" ref="Y168:AF168" si="29">IF(Y$4=$D168,$X168*Y$5,0)</f>
        <v>0</v>
      </c>
      <c r="Z168" s="490">
        <f t="shared" si="29"/>
        <v>0</v>
      </c>
      <c r="AA168" s="490">
        <f t="shared" si="29"/>
        <v>20.86</v>
      </c>
      <c r="AB168" s="490">
        <f t="shared" si="29"/>
        <v>0</v>
      </c>
      <c r="AC168" s="490">
        <f t="shared" si="29"/>
        <v>0</v>
      </c>
      <c r="AD168" s="490">
        <f t="shared" si="29"/>
        <v>0</v>
      </c>
      <c r="AE168" s="490">
        <f t="shared" si="29"/>
        <v>0</v>
      </c>
      <c r="AF168" s="490">
        <f t="shared" si="29"/>
        <v>0</v>
      </c>
      <c r="AG168" s="490"/>
      <c r="AH168" s="193"/>
    </row>
    <row r="169" spans="1:34" x14ac:dyDescent="0.25">
      <c r="A169" s="193"/>
      <c r="B169" s="491"/>
      <c r="C169" s="500"/>
      <c r="D169" s="491"/>
      <c r="E169" s="491"/>
      <c r="F169" s="491"/>
      <c r="G169" s="491"/>
      <c r="H169" s="491"/>
      <c r="I169" s="491"/>
      <c r="J169" s="491"/>
      <c r="K169" s="491"/>
      <c r="L169" s="491"/>
      <c r="M169" s="491"/>
      <c r="N169" s="491"/>
      <c r="O169" s="491"/>
      <c r="P169" s="491"/>
      <c r="Q169" s="491"/>
      <c r="R169" s="213"/>
      <c r="S169" s="215"/>
      <c r="T169" s="216"/>
      <c r="U169" s="214"/>
      <c r="V169" s="491"/>
      <c r="W169" s="491"/>
      <c r="X169" s="491"/>
      <c r="Y169" s="491"/>
      <c r="Z169" s="491"/>
      <c r="AA169" s="491"/>
      <c r="AB169" s="491"/>
      <c r="AC169" s="491"/>
      <c r="AD169" s="491"/>
      <c r="AE169" s="491"/>
      <c r="AF169" s="491"/>
      <c r="AG169" s="491"/>
      <c r="AH169" s="193"/>
    </row>
    <row r="170" spans="1:34" x14ac:dyDescent="0.25">
      <c r="A170" s="193"/>
      <c r="B170" s="491"/>
      <c r="C170" s="500"/>
      <c r="D170" s="491"/>
      <c r="E170" s="491"/>
      <c r="F170" s="491"/>
      <c r="G170" s="491"/>
      <c r="H170" s="491"/>
      <c r="I170" s="491"/>
      <c r="J170" s="491"/>
      <c r="K170" s="491"/>
      <c r="L170" s="491"/>
      <c r="M170" s="491"/>
      <c r="N170" s="491"/>
      <c r="O170" s="491"/>
      <c r="P170" s="491"/>
      <c r="Q170" s="491"/>
      <c r="R170" s="217">
        <f>K168/12</f>
        <v>2.5</v>
      </c>
      <c r="S170" s="223"/>
      <c r="T170" s="195"/>
      <c r="U170" s="219"/>
      <c r="V170" s="491"/>
      <c r="W170" s="491"/>
      <c r="X170" s="491"/>
      <c r="Y170" s="491"/>
      <c r="Z170" s="491"/>
      <c r="AA170" s="491"/>
      <c r="AB170" s="491"/>
      <c r="AC170" s="491"/>
      <c r="AD170" s="491"/>
      <c r="AE170" s="491"/>
      <c r="AF170" s="491"/>
      <c r="AG170" s="491"/>
      <c r="AH170" s="193"/>
    </row>
    <row r="171" spans="1:34" ht="15.75" thickBot="1" x14ac:dyDescent="0.3">
      <c r="A171" s="193"/>
      <c r="B171" s="491"/>
      <c r="C171" s="500"/>
      <c r="D171" s="491"/>
      <c r="E171" s="491"/>
      <c r="F171" s="491"/>
      <c r="G171" s="491"/>
      <c r="H171" s="491"/>
      <c r="I171" s="491"/>
      <c r="J171" s="491"/>
      <c r="K171" s="491"/>
      <c r="L171" s="491"/>
      <c r="M171" s="491"/>
      <c r="N171" s="491"/>
      <c r="O171" s="491"/>
      <c r="P171" s="491"/>
      <c r="Q171" s="491"/>
      <c r="R171" s="213"/>
      <c r="S171" s="224"/>
      <c r="T171" s="220"/>
      <c r="U171" s="214"/>
      <c r="V171" s="491"/>
      <c r="W171" s="491"/>
      <c r="X171" s="491"/>
      <c r="Y171" s="491"/>
      <c r="Z171" s="491"/>
      <c r="AA171" s="491"/>
      <c r="AB171" s="491"/>
      <c r="AC171" s="491"/>
      <c r="AD171" s="491"/>
      <c r="AE171" s="491"/>
      <c r="AF171" s="491"/>
      <c r="AG171" s="491"/>
      <c r="AH171" s="193"/>
    </row>
    <row r="172" spans="1:34" x14ac:dyDescent="0.25">
      <c r="A172" s="193"/>
      <c r="B172" s="492"/>
      <c r="C172" s="501"/>
      <c r="D172" s="492"/>
      <c r="E172" s="492"/>
      <c r="F172" s="492"/>
      <c r="G172" s="492"/>
      <c r="H172" s="492"/>
      <c r="I172" s="492"/>
      <c r="J172" s="492"/>
      <c r="K172" s="492"/>
      <c r="L172" s="492"/>
      <c r="M172" s="492"/>
      <c r="N172" s="492"/>
      <c r="O172" s="492"/>
      <c r="P172" s="492"/>
      <c r="Q172" s="492"/>
      <c r="R172" s="221"/>
      <c r="S172" s="493">
        <f>L168/12</f>
        <v>2.5</v>
      </c>
      <c r="T172" s="493"/>
      <c r="U172" s="222"/>
      <c r="V172" s="492"/>
      <c r="W172" s="492"/>
      <c r="X172" s="492"/>
      <c r="Y172" s="492"/>
      <c r="Z172" s="492"/>
      <c r="AA172" s="492"/>
      <c r="AB172" s="492"/>
      <c r="AC172" s="492"/>
      <c r="AD172" s="492"/>
      <c r="AE172" s="492"/>
      <c r="AF172" s="492"/>
      <c r="AG172" s="492"/>
      <c r="AH172" s="193"/>
    </row>
    <row r="173" spans="1:34" x14ac:dyDescent="0.25">
      <c r="A173" s="193"/>
      <c r="B173" s="490"/>
      <c r="C173" s="490" t="s">
        <v>277</v>
      </c>
      <c r="D173" s="490">
        <v>5</v>
      </c>
      <c r="E173" s="490">
        <v>0.625</v>
      </c>
      <c r="F173" s="494">
        <v>16</v>
      </c>
      <c r="G173" s="229"/>
      <c r="H173" s="490"/>
      <c r="I173" s="490">
        <f>ROUNDUP(G163/F173,0)</f>
        <v>13</v>
      </c>
      <c r="J173" s="490">
        <v>1</v>
      </c>
      <c r="K173" s="490">
        <v>6</v>
      </c>
      <c r="L173" s="490">
        <f>4*12-2</f>
        <v>46</v>
      </c>
      <c r="M173" s="490">
        <f>11*12</f>
        <v>132</v>
      </c>
      <c r="N173" s="490"/>
      <c r="O173" s="490"/>
      <c r="P173" s="490"/>
      <c r="Q173" s="490"/>
      <c r="R173" s="213"/>
      <c r="S173" s="498"/>
      <c r="T173" s="498"/>
      <c r="U173" s="214"/>
      <c r="V173" s="490">
        <f>SUM(R173:U177)</f>
        <v>15.333333333333334</v>
      </c>
      <c r="W173" s="490">
        <f>+SUM(K173:Q177)</f>
        <v>184</v>
      </c>
      <c r="X173" s="490">
        <f>(+I173*J173*W173)/12</f>
        <v>199.33333333333334</v>
      </c>
      <c r="Y173" s="490">
        <f t="shared" ref="Y173:AF173" si="30">IF(Y$4=$D173,$X173*Y$5,0)</f>
        <v>0</v>
      </c>
      <c r="Z173" s="490">
        <f t="shared" si="30"/>
        <v>0</v>
      </c>
      <c r="AA173" s="490">
        <f t="shared" si="30"/>
        <v>207.90466666666666</v>
      </c>
      <c r="AB173" s="490">
        <f t="shared" si="30"/>
        <v>0</v>
      </c>
      <c r="AC173" s="490">
        <f t="shared" si="30"/>
        <v>0</v>
      </c>
      <c r="AD173" s="490">
        <f t="shared" si="30"/>
        <v>0</v>
      </c>
      <c r="AE173" s="490">
        <f t="shared" si="30"/>
        <v>0</v>
      </c>
      <c r="AF173" s="490">
        <f t="shared" si="30"/>
        <v>0</v>
      </c>
      <c r="AG173" s="490"/>
      <c r="AH173" s="193"/>
    </row>
    <row r="174" spans="1:34" x14ac:dyDescent="0.25">
      <c r="A174" s="193"/>
      <c r="B174" s="491"/>
      <c r="C174" s="491"/>
      <c r="D174" s="491"/>
      <c r="E174" s="491"/>
      <c r="F174" s="495"/>
      <c r="G174" s="230"/>
      <c r="H174" s="491"/>
      <c r="I174" s="491"/>
      <c r="J174" s="491"/>
      <c r="K174" s="491"/>
      <c r="L174" s="491"/>
      <c r="M174" s="491"/>
      <c r="N174" s="491"/>
      <c r="O174" s="491"/>
      <c r="P174" s="491"/>
      <c r="Q174" s="491"/>
      <c r="R174" s="213"/>
      <c r="S174" s="215"/>
      <c r="T174" s="216"/>
      <c r="U174" s="214"/>
      <c r="V174" s="491"/>
      <c r="W174" s="491"/>
      <c r="X174" s="491"/>
      <c r="Y174" s="491"/>
      <c r="Z174" s="491"/>
      <c r="AA174" s="491"/>
      <c r="AB174" s="491"/>
      <c r="AC174" s="491"/>
      <c r="AD174" s="491"/>
      <c r="AE174" s="491"/>
      <c r="AF174" s="491"/>
      <c r="AG174" s="491"/>
      <c r="AH174" s="193"/>
    </row>
    <row r="175" spans="1:34" x14ac:dyDescent="0.25">
      <c r="A175" s="193"/>
      <c r="B175" s="491"/>
      <c r="C175" s="491"/>
      <c r="D175" s="491"/>
      <c r="E175" s="491"/>
      <c r="F175" s="495"/>
      <c r="G175" s="230"/>
      <c r="H175" s="491"/>
      <c r="I175" s="491"/>
      <c r="J175" s="491"/>
      <c r="K175" s="491"/>
      <c r="L175" s="491"/>
      <c r="M175" s="491"/>
      <c r="N175" s="491"/>
      <c r="O175" s="491"/>
      <c r="P175" s="491"/>
      <c r="Q175" s="491"/>
      <c r="R175" s="225">
        <f>K173/12</f>
        <v>0.5</v>
      </c>
      <c r="S175" s="218"/>
      <c r="T175" s="218"/>
      <c r="U175" s="219"/>
      <c r="V175" s="491"/>
      <c r="W175" s="491"/>
      <c r="X175" s="491"/>
      <c r="Y175" s="491"/>
      <c r="Z175" s="491"/>
      <c r="AA175" s="491"/>
      <c r="AB175" s="491"/>
      <c r="AC175" s="491"/>
      <c r="AD175" s="491"/>
      <c r="AE175" s="491"/>
      <c r="AF175" s="491"/>
      <c r="AG175" s="491"/>
      <c r="AH175" s="193"/>
    </row>
    <row r="176" spans="1:34" ht="15.75" thickBot="1" x14ac:dyDescent="0.3">
      <c r="A176" s="193"/>
      <c r="B176" s="491"/>
      <c r="C176" s="491"/>
      <c r="D176" s="491"/>
      <c r="E176" s="491"/>
      <c r="F176" s="495"/>
      <c r="G176" s="230"/>
      <c r="H176" s="491"/>
      <c r="I176" s="491"/>
      <c r="J176" s="491"/>
      <c r="K176" s="491"/>
      <c r="L176" s="491"/>
      <c r="M176" s="491"/>
      <c r="N176" s="491"/>
      <c r="O176" s="491"/>
      <c r="P176" s="491"/>
      <c r="Q176" s="491"/>
      <c r="R176" s="226"/>
      <c r="S176" s="220"/>
      <c r="T176" s="220"/>
      <c r="U176" s="214"/>
      <c r="V176" s="491"/>
      <c r="W176" s="491"/>
      <c r="X176" s="491"/>
      <c r="Y176" s="491"/>
      <c r="Z176" s="491"/>
      <c r="AA176" s="491"/>
      <c r="AB176" s="491"/>
      <c r="AC176" s="491"/>
      <c r="AD176" s="491"/>
      <c r="AE176" s="491"/>
      <c r="AF176" s="491"/>
      <c r="AG176" s="491"/>
      <c r="AH176" s="193"/>
    </row>
    <row r="177" spans="1:34" x14ac:dyDescent="0.25">
      <c r="A177" s="193"/>
      <c r="B177" s="492"/>
      <c r="C177" s="492"/>
      <c r="D177" s="491"/>
      <c r="E177" s="491"/>
      <c r="F177" s="496"/>
      <c r="G177" s="231"/>
      <c r="H177" s="492"/>
      <c r="I177" s="492"/>
      <c r="J177" s="492"/>
      <c r="K177" s="492"/>
      <c r="L177" s="492"/>
      <c r="M177" s="492"/>
      <c r="N177" s="492"/>
      <c r="O177" s="492"/>
      <c r="P177" s="492"/>
      <c r="Q177" s="492"/>
      <c r="R177" s="221"/>
      <c r="S177" s="493">
        <f>+SUM(L173:M177)/12</f>
        <v>14.833333333333334</v>
      </c>
      <c r="T177" s="493"/>
      <c r="U177" s="222"/>
      <c r="V177" s="492"/>
      <c r="W177" s="492"/>
      <c r="X177" s="492"/>
      <c r="Y177" s="492"/>
      <c r="Z177" s="492"/>
      <c r="AA177" s="492"/>
      <c r="AB177" s="492"/>
      <c r="AC177" s="492"/>
      <c r="AD177" s="492"/>
      <c r="AE177" s="492"/>
      <c r="AF177" s="492"/>
      <c r="AG177" s="492"/>
      <c r="AH177" s="193"/>
    </row>
    <row r="178" spans="1:34" x14ac:dyDescent="0.25">
      <c r="A178" s="193"/>
      <c r="B178" s="490"/>
      <c r="C178" s="490" t="s">
        <v>286</v>
      </c>
      <c r="D178" s="490">
        <v>5</v>
      </c>
      <c r="E178" s="490">
        <v>0.625</v>
      </c>
      <c r="F178" s="494">
        <v>16</v>
      </c>
      <c r="G178" s="229"/>
      <c r="H178" s="490"/>
      <c r="I178" s="490">
        <f>ROUNDUP(M173/F178,0)</f>
        <v>9</v>
      </c>
      <c r="J178" s="490">
        <v>1</v>
      </c>
      <c r="K178" s="490"/>
      <c r="L178" s="490">
        <f>G161-2-2</f>
        <v>191.95999999999998</v>
      </c>
      <c r="M178" s="490"/>
      <c r="N178" s="490"/>
      <c r="O178" s="490"/>
      <c r="P178" s="490"/>
      <c r="Q178" s="490"/>
      <c r="R178" s="213"/>
      <c r="S178" s="498"/>
      <c r="T178" s="498"/>
      <c r="U178" s="214"/>
      <c r="V178" s="490">
        <f>SUM(R178:U182)</f>
        <v>15.996666666666664</v>
      </c>
      <c r="W178" s="490">
        <f>+SUM(K178:Q182)</f>
        <v>191.95999999999998</v>
      </c>
      <c r="X178" s="490">
        <f>(+I178*J178*W178)/12</f>
        <v>143.97</v>
      </c>
      <c r="Y178" s="490">
        <f t="shared" ref="Y178:AF178" si="31">IF(Y$4=$D178,$X178*Y$5,0)</f>
        <v>0</v>
      </c>
      <c r="Z178" s="490">
        <f t="shared" si="31"/>
        <v>0</v>
      </c>
      <c r="AA178" s="490">
        <f t="shared" si="31"/>
        <v>150.16070999999999</v>
      </c>
      <c r="AB178" s="490">
        <f t="shared" si="31"/>
        <v>0</v>
      </c>
      <c r="AC178" s="490">
        <f t="shared" si="31"/>
        <v>0</v>
      </c>
      <c r="AD178" s="490">
        <f t="shared" si="31"/>
        <v>0</v>
      </c>
      <c r="AE178" s="490">
        <f t="shared" si="31"/>
        <v>0</v>
      </c>
      <c r="AF178" s="490">
        <f t="shared" si="31"/>
        <v>0</v>
      </c>
      <c r="AG178" s="490"/>
      <c r="AH178" s="193"/>
    </row>
    <row r="179" spans="1:34" x14ac:dyDescent="0.25">
      <c r="A179" s="193"/>
      <c r="B179" s="491"/>
      <c r="C179" s="491"/>
      <c r="D179" s="491"/>
      <c r="E179" s="491"/>
      <c r="F179" s="495"/>
      <c r="G179" s="230"/>
      <c r="H179" s="491"/>
      <c r="I179" s="491"/>
      <c r="J179" s="491"/>
      <c r="K179" s="491"/>
      <c r="L179" s="491"/>
      <c r="M179" s="491"/>
      <c r="N179" s="491"/>
      <c r="O179" s="491"/>
      <c r="P179" s="491"/>
      <c r="Q179" s="491"/>
      <c r="R179" s="213"/>
      <c r="S179" s="215"/>
      <c r="T179" s="216"/>
      <c r="U179" s="214"/>
      <c r="V179" s="491"/>
      <c r="W179" s="491"/>
      <c r="X179" s="491"/>
      <c r="Y179" s="491"/>
      <c r="Z179" s="491"/>
      <c r="AA179" s="491"/>
      <c r="AB179" s="491"/>
      <c r="AC179" s="491"/>
      <c r="AD179" s="491"/>
      <c r="AE179" s="491"/>
      <c r="AF179" s="491"/>
      <c r="AG179" s="491"/>
      <c r="AH179" s="193"/>
    </row>
    <row r="180" spans="1:34" x14ac:dyDescent="0.25">
      <c r="A180" s="193"/>
      <c r="B180" s="491"/>
      <c r="C180" s="491"/>
      <c r="D180" s="491"/>
      <c r="E180" s="491"/>
      <c r="F180" s="495"/>
      <c r="G180" s="230"/>
      <c r="H180" s="491"/>
      <c r="I180" s="491"/>
      <c r="J180" s="491"/>
      <c r="K180" s="491"/>
      <c r="L180" s="491"/>
      <c r="M180" s="491"/>
      <c r="N180" s="491"/>
      <c r="O180" s="491"/>
      <c r="P180" s="491"/>
      <c r="Q180" s="497"/>
      <c r="R180" s="217"/>
      <c r="S180" s="218"/>
      <c r="T180" s="218"/>
      <c r="U180" s="219"/>
      <c r="V180" s="491"/>
      <c r="W180" s="491"/>
      <c r="X180" s="491"/>
      <c r="Y180" s="491"/>
      <c r="Z180" s="491"/>
      <c r="AA180" s="491"/>
      <c r="AB180" s="491"/>
      <c r="AC180" s="491"/>
      <c r="AD180" s="491"/>
      <c r="AE180" s="491"/>
      <c r="AF180" s="491"/>
      <c r="AG180" s="491"/>
      <c r="AH180" s="193"/>
    </row>
    <row r="181" spans="1:34" ht="15.75" thickBot="1" x14ac:dyDescent="0.3">
      <c r="A181" s="193"/>
      <c r="B181" s="491"/>
      <c r="C181" s="491"/>
      <c r="D181" s="491"/>
      <c r="E181" s="491"/>
      <c r="F181" s="495"/>
      <c r="G181" s="230"/>
      <c r="H181" s="491"/>
      <c r="I181" s="491"/>
      <c r="J181" s="491"/>
      <c r="K181" s="491"/>
      <c r="L181" s="491"/>
      <c r="M181" s="491"/>
      <c r="N181" s="491"/>
      <c r="O181" s="491"/>
      <c r="P181" s="491"/>
      <c r="Q181" s="497"/>
      <c r="R181" s="213"/>
      <c r="S181" s="220"/>
      <c r="T181" s="220"/>
      <c r="U181" s="214"/>
      <c r="V181" s="491"/>
      <c r="W181" s="491"/>
      <c r="X181" s="491"/>
      <c r="Y181" s="491"/>
      <c r="Z181" s="491"/>
      <c r="AA181" s="491"/>
      <c r="AB181" s="491"/>
      <c r="AC181" s="491"/>
      <c r="AD181" s="491"/>
      <c r="AE181" s="491"/>
      <c r="AF181" s="491"/>
      <c r="AG181" s="491"/>
      <c r="AH181" s="193"/>
    </row>
    <row r="182" spans="1:34" x14ac:dyDescent="0.25">
      <c r="A182" s="193"/>
      <c r="B182" s="492"/>
      <c r="C182" s="492"/>
      <c r="D182" s="491"/>
      <c r="E182" s="491"/>
      <c r="F182" s="496"/>
      <c r="G182" s="231"/>
      <c r="H182" s="492"/>
      <c r="I182" s="492"/>
      <c r="J182" s="492"/>
      <c r="K182" s="492"/>
      <c r="L182" s="492"/>
      <c r="M182" s="492"/>
      <c r="N182" s="492"/>
      <c r="O182" s="492"/>
      <c r="P182" s="492"/>
      <c r="Q182" s="492"/>
      <c r="R182" s="221"/>
      <c r="S182" s="493">
        <f>L178/12</f>
        <v>15.996666666666664</v>
      </c>
      <c r="T182" s="493"/>
      <c r="U182" s="222"/>
      <c r="V182" s="492"/>
      <c r="W182" s="492"/>
      <c r="X182" s="492"/>
      <c r="Y182" s="492"/>
      <c r="Z182" s="492"/>
      <c r="AA182" s="492"/>
      <c r="AB182" s="492"/>
      <c r="AC182" s="492"/>
      <c r="AD182" s="492"/>
      <c r="AE182" s="492"/>
      <c r="AF182" s="492"/>
      <c r="AG182" s="492"/>
      <c r="AH182" s="193"/>
    </row>
    <row r="183" spans="1:34" ht="15.75" thickBot="1" x14ac:dyDescent="0.3">
      <c r="A183" s="195"/>
      <c r="B183" s="200" t="s">
        <v>293</v>
      </c>
      <c r="C183" s="199" t="s">
        <v>264</v>
      </c>
      <c r="D183" s="197">
        <v>60</v>
      </c>
      <c r="E183" s="201">
        <v>8</v>
      </c>
      <c r="F183" s="202"/>
      <c r="G183" s="202">
        <f>16.75*12</f>
        <v>201</v>
      </c>
      <c r="H183" s="202">
        <v>20</v>
      </c>
      <c r="I183" s="202">
        <v>12</v>
      </c>
      <c r="J183" s="202">
        <v>12</v>
      </c>
      <c r="K183" s="199"/>
      <c r="L183" s="199"/>
      <c r="M183" s="199"/>
      <c r="N183" s="199"/>
      <c r="O183" s="199"/>
      <c r="P183" s="199"/>
      <c r="Q183" s="198"/>
      <c r="R183" s="196"/>
      <c r="S183" s="196"/>
      <c r="T183" s="196"/>
      <c r="U183" s="196"/>
      <c r="V183" s="203"/>
      <c r="W183" s="202"/>
      <c r="X183" s="202"/>
      <c r="Y183" s="199"/>
      <c r="Z183" s="199"/>
      <c r="AA183" s="199"/>
      <c r="AB183" s="199"/>
      <c r="AC183" s="199"/>
      <c r="AD183" s="199"/>
      <c r="AE183" s="199"/>
      <c r="AF183" s="199"/>
      <c r="AG183" s="199"/>
      <c r="AH183" s="195"/>
    </row>
    <row r="184" spans="1:34" ht="15.75" thickBot="1" x14ac:dyDescent="0.3">
      <c r="A184" s="193"/>
      <c r="B184" s="204"/>
      <c r="C184" s="205"/>
      <c r="D184" s="194"/>
      <c r="E184" s="206"/>
      <c r="F184" s="205"/>
      <c r="G184" s="205"/>
      <c r="H184" s="207">
        <v>3</v>
      </c>
      <c r="I184" s="207">
        <v>2</v>
      </c>
      <c r="J184" s="205"/>
      <c r="K184" s="205"/>
      <c r="L184" s="205"/>
      <c r="M184" s="205"/>
      <c r="N184" s="205"/>
      <c r="O184" s="205"/>
      <c r="P184" s="205"/>
      <c r="Q184" s="208"/>
      <c r="R184" s="209"/>
      <c r="S184" s="210"/>
      <c r="T184" s="210"/>
      <c r="U184" s="211"/>
      <c r="V184" s="212"/>
      <c r="W184" s="204"/>
      <c r="X184" s="204"/>
      <c r="Y184" s="205"/>
      <c r="Z184" s="205"/>
      <c r="AA184" s="205"/>
      <c r="AB184" s="205"/>
      <c r="AC184" s="205"/>
      <c r="AD184" s="205"/>
      <c r="AE184" s="205"/>
      <c r="AF184" s="205"/>
      <c r="AG184" s="205"/>
      <c r="AH184" s="193"/>
    </row>
    <row r="185" spans="1:34" x14ac:dyDescent="0.25">
      <c r="A185" s="193"/>
      <c r="B185" s="490"/>
      <c r="C185" s="499" t="s">
        <v>265</v>
      </c>
      <c r="D185" s="490">
        <v>5</v>
      </c>
      <c r="E185" s="490">
        <v>0.625</v>
      </c>
      <c r="F185" s="490"/>
      <c r="G185" s="490">
        <f>G183</f>
        <v>201</v>
      </c>
      <c r="H185" s="490"/>
      <c r="I185" s="490">
        <v>2</v>
      </c>
      <c r="J185" s="490">
        <v>1</v>
      </c>
      <c r="K185" s="490"/>
      <c r="L185" s="490">
        <f>G183-2-2</f>
        <v>197</v>
      </c>
      <c r="M185" s="490"/>
      <c r="N185" s="490"/>
      <c r="O185" s="490"/>
      <c r="P185" s="490"/>
      <c r="Q185" s="490"/>
      <c r="R185" s="213"/>
      <c r="S185" s="502"/>
      <c r="T185" s="502"/>
      <c r="U185" s="214"/>
      <c r="V185" s="490">
        <f>SUM(R185:U189)</f>
        <v>16.416666666666668</v>
      </c>
      <c r="W185" s="490">
        <f>+SUM(K185:Q189)</f>
        <v>197</v>
      </c>
      <c r="X185" s="490">
        <f>(+I185*J185*W185)/12</f>
        <v>32.833333333333336</v>
      </c>
      <c r="Y185" s="490">
        <f>IF(Y$4=$D185,$X185*Y$5,0)</f>
        <v>0</v>
      </c>
      <c r="Z185" s="490">
        <f t="shared" ref="Z185:AF185" si="32">IF(Z$4=$D185,$X185*Z$5,0)</f>
        <v>0</v>
      </c>
      <c r="AA185" s="490">
        <f t="shared" si="32"/>
        <v>34.24516666666667</v>
      </c>
      <c r="AB185" s="490">
        <f t="shared" si="32"/>
        <v>0</v>
      </c>
      <c r="AC185" s="490">
        <f t="shared" si="32"/>
        <v>0</v>
      </c>
      <c r="AD185" s="490">
        <f t="shared" si="32"/>
        <v>0</v>
      </c>
      <c r="AE185" s="490">
        <f t="shared" si="32"/>
        <v>0</v>
      </c>
      <c r="AF185" s="490">
        <f t="shared" si="32"/>
        <v>0</v>
      </c>
      <c r="AG185" s="490"/>
      <c r="AH185" s="193"/>
    </row>
    <row r="186" spans="1:34" x14ac:dyDescent="0.25">
      <c r="A186" s="193"/>
      <c r="B186" s="491"/>
      <c r="C186" s="500"/>
      <c r="D186" s="491"/>
      <c r="E186" s="491"/>
      <c r="F186" s="491"/>
      <c r="G186" s="491"/>
      <c r="H186" s="491"/>
      <c r="I186" s="491"/>
      <c r="J186" s="491"/>
      <c r="K186" s="491"/>
      <c r="L186" s="491"/>
      <c r="M186" s="491"/>
      <c r="N186" s="491"/>
      <c r="O186" s="491"/>
      <c r="P186" s="491"/>
      <c r="Q186" s="491"/>
      <c r="R186" s="213"/>
      <c r="S186" s="215"/>
      <c r="T186" s="216"/>
      <c r="U186" s="214"/>
      <c r="V186" s="491"/>
      <c r="W186" s="491"/>
      <c r="X186" s="491"/>
      <c r="Y186" s="491"/>
      <c r="Z186" s="491"/>
      <c r="AA186" s="491"/>
      <c r="AB186" s="491"/>
      <c r="AC186" s="491"/>
      <c r="AD186" s="491"/>
      <c r="AE186" s="491"/>
      <c r="AF186" s="491"/>
      <c r="AG186" s="491"/>
      <c r="AH186" s="193"/>
    </row>
    <row r="187" spans="1:34" x14ac:dyDescent="0.25">
      <c r="A187" s="193"/>
      <c r="B187" s="491"/>
      <c r="C187" s="500"/>
      <c r="D187" s="491"/>
      <c r="E187" s="491"/>
      <c r="F187" s="491"/>
      <c r="G187" s="491"/>
      <c r="H187" s="491"/>
      <c r="I187" s="491"/>
      <c r="J187" s="491"/>
      <c r="K187" s="491"/>
      <c r="L187" s="491"/>
      <c r="M187" s="491"/>
      <c r="N187" s="491"/>
      <c r="O187" s="491"/>
      <c r="P187" s="491"/>
      <c r="Q187" s="491"/>
      <c r="R187" s="217"/>
      <c r="S187" s="218"/>
      <c r="T187" s="218"/>
      <c r="U187" s="219"/>
      <c r="V187" s="491"/>
      <c r="W187" s="491"/>
      <c r="X187" s="491"/>
      <c r="Y187" s="491"/>
      <c r="Z187" s="491"/>
      <c r="AA187" s="491"/>
      <c r="AB187" s="491"/>
      <c r="AC187" s="491"/>
      <c r="AD187" s="491"/>
      <c r="AE187" s="491"/>
      <c r="AF187" s="491"/>
      <c r="AG187" s="491"/>
      <c r="AH187" s="193"/>
    </row>
    <row r="188" spans="1:34" ht="15.75" thickBot="1" x14ac:dyDescent="0.3">
      <c r="A188" s="193"/>
      <c r="B188" s="491"/>
      <c r="C188" s="500"/>
      <c r="D188" s="491"/>
      <c r="E188" s="491"/>
      <c r="F188" s="491"/>
      <c r="G188" s="491"/>
      <c r="H188" s="491"/>
      <c r="I188" s="491"/>
      <c r="J188" s="491"/>
      <c r="K188" s="491"/>
      <c r="L188" s="491"/>
      <c r="M188" s="491"/>
      <c r="N188" s="491"/>
      <c r="O188" s="491"/>
      <c r="P188" s="491"/>
      <c r="Q188" s="491"/>
      <c r="R188" s="213"/>
      <c r="S188" s="220"/>
      <c r="T188" s="220"/>
      <c r="U188" s="214"/>
      <c r="V188" s="491"/>
      <c r="W188" s="491"/>
      <c r="X188" s="491"/>
      <c r="Y188" s="491"/>
      <c r="Z188" s="491"/>
      <c r="AA188" s="491"/>
      <c r="AB188" s="491"/>
      <c r="AC188" s="491"/>
      <c r="AD188" s="491"/>
      <c r="AE188" s="491"/>
      <c r="AF188" s="491"/>
      <c r="AG188" s="491"/>
      <c r="AH188" s="193"/>
    </row>
    <row r="189" spans="1:34" x14ac:dyDescent="0.25">
      <c r="A189" s="193"/>
      <c r="B189" s="492"/>
      <c r="C189" s="501"/>
      <c r="D189" s="492"/>
      <c r="E189" s="492"/>
      <c r="F189" s="492"/>
      <c r="G189" s="492"/>
      <c r="H189" s="492"/>
      <c r="I189" s="492"/>
      <c r="J189" s="492"/>
      <c r="K189" s="492"/>
      <c r="L189" s="492"/>
      <c r="M189" s="492"/>
      <c r="N189" s="492"/>
      <c r="O189" s="492"/>
      <c r="P189" s="492"/>
      <c r="Q189" s="492"/>
      <c r="R189" s="221"/>
      <c r="S189" s="493">
        <f>L185/12</f>
        <v>16.416666666666668</v>
      </c>
      <c r="T189" s="493"/>
      <c r="U189" s="222"/>
      <c r="V189" s="492"/>
      <c r="W189" s="492"/>
      <c r="X189" s="492"/>
      <c r="Y189" s="492"/>
      <c r="Z189" s="492"/>
      <c r="AA189" s="492"/>
      <c r="AB189" s="492"/>
      <c r="AC189" s="492"/>
      <c r="AD189" s="492"/>
      <c r="AE189" s="492"/>
      <c r="AF189" s="492"/>
      <c r="AG189" s="492"/>
      <c r="AH189" s="193"/>
    </row>
    <row r="190" spans="1:34" x14ac:dyDescent="0.25">
      <c r="A190" s="193"/>
      <c r="B190" s="490"/>
      <c r="C190" s="499" t="s">
        <v>271</v>
      </c>
      <c r="D190" s="490">
        <v>5</v>
      </c>
      <c r="E190" s="490">
        <v>0.625</v>
      </c>
      <c r="F190" s="490"/>
      <c r="G190" s="490"/>
      <c r="H190" s="490"/>
      <c r="I190" s="490">
        <v>2</v>
      </c>
      <c r="J190" s="490">
        <v>2</v>
      </c>
      <c r="K190" s="490">
        <v>30</v>
      </c>
      <c r="L190" s="490">
        <v>30</v>
      </c>
      <c r="M190" s="490"/>
      <c r="N190" s="490"/>
      <c r="O190" s="490"/>
      <c r="P190" s="490"/>
      <c r="Q190" s="490"/>
      <c r="R190" s="213"/>
      <c r="S190" s="498"/>
      <c r="T190" s="498"/>
      <c r="U190" s="214"/>
      <c r="V190" s="490">
        <f>SUM(R190:U194)</f>
        <v>5</v>
      </c>
      <c r="W190" s="490">
        <f>+SUM(K190:Q194)</f>
        <v>60</v>
      </c>
      <c r="X190" s="490">
        <f>(+I190*J190*W190)/12</f>
        <v>20</v>
      </c>
      <c r="Y190" s="490">
        <f t="shared" ref="Y190:AF190" si="33">IF(Y$4=$D190,$X190*Y$5,0)</f>
        <v>0</v>
      </c>
      <c r="Z190" s="490">
        <f t="shared" si="33"/>
        <v>0</v>
      </c>
      <c r="AA190" s="490">
        <f t="shared" si="33"/>
        <v>20.86</v>
      </c>
      <c r="AB190" s="490">
        <f t="shared" si="33"/>
        <v>0</v>
      </c>
      <c r="AC190" s="490">
        <f t="shared" si="33"/>
        <v>0</v>
      </c>
      <c r="AD190" s="490">
        <f t="shared" si="33"/>
        <v>0</v>
      </c>
      <c r="AE190" s="490">
        <f t="shared" si="33"/>
        <v>0</v>
      </c>
      <c r="AF190" s="490">
        <f t="shared" si="33"/>
        <v>0</v>
      </c>
      <c r="AG190" s="490"/>
      <c r="AH190" s="193"/>
    </row>
    <row r="191" spans="1:34" x14ac:dyDescent="0.25">
      <c r="A191" s="193"/>
      <c r="B191" s="491"/>
      <c r="C191" s="500"/>
      <c r="D191" s="491"/>
      <c r="E191" s="491"/>
      <c r="F191" s="491"/>
      <c r="G191" s="491"/>
      <c r="H191" s="491"/>
      <c r="I191" s="491"/>
      <c r="J191" s="491"/>
      <c r="K191" s="491"/>
      <c r="L191" s="491"/>
      <c r="M191" s="491"/>
      <c r="N191" s="491"/>
      <c r="O191" s="491"/>
      <c r="P191" s="491"/>
      <c r="Q191" s="491"/>
      <c r="R191" s="213"/>
      <c r="S191" s="215"/>
      <c r="T191" s="216"/>
      <c r="U191" s="214"/>
      <c r="V191" s="491"/>
      <c r="W191" s="491"/>
      <c r="X191" s="491"/>
      <c r="Y191" s="491"/>
      <c r="Z191" s="491"/>
      <c r="AA191" s="491"/>
      <c r="AB191" s="491"/>
      <c r="AC191" s="491"/>
      <c r="AD191" s="491"/>
      <c r="AE191" s="491"/>
      <c r="AF191" s="491"/>
      <c r="AG191" s="491"/>
      <c r="AH191" s="193"/>
    </row>
    <row r="192" spans="1:34" x14ac:dyDescent="0.25">
      <c r="A192" s="193"/>
      <c r="B192" s="491"/>
      <c r="C192" s="500"/>
      <c r="D192" s="491"/>
      <c r="E192" s="491"/>
      <c r="F192" s="491"/>
      <c r="G192" s="491"/>
      <c r="H192" s="491"/>
      <c r="I192" s="491"/>
      <c r="J192" s="491"/>
      <c r="K192" s="491"/>
      <c r="L192" s="491"/>
      <c r="M192" s="491"/>
      <c r="N192" s="491"/>
      <c r="O192" s="491"/>
      <c r="P192" s="491"/>
      <c r="Q192" s="491"/>
      <c r="R192" s="217">
        <f>K190/12</f>
        <v>2.5</v>
      </c>
      <c r="S192" s="223"/>
      <c r="T192" s="195"/>
      <c r="U192" s="219"/>
      <c r="V192" s="491"/>
      <c r="W192" s="491"/>
      <c r="X192" s="491"/>
      <c r="Y192" s="491"/>
      <c r="Z192" s="491"/>
      <c r="AA192" s="491"/>
      <c r="AB192" s="491"/>
      <c r="AC192" s="491"/>
      <c r="AD192" s="491"/>
      <c r="AE192" s="491"/>
      <c r="AF192" s="491"/>
      <c r="AG192" s="491"/>
      <c r="AH192" s="193"/>
    </row>
    <row r="193" spans="1:34" ht="15.75" thickBot="1" x14ac:dyDescent="0.3">
      <c r="A193" s="193"/>
      <c r="B193" s="491"/>
      <c r="C193" s="500"/>
      <c r="D193" s="491"/>
      <c r="E193" s="491"/>
      <c r="F193" s="491"/>
      <c r="G193" s="491"/>
      <c r="H193" s="491"/>
      <c r="I193" s="491"/>
      <c r="J193" s="491"/>
      <c r="K193" s="491"/>
      <c r="L193" s="491"/>
      <c r="M193" s="491"/>
      <c r="N193" s="491"/>
      <c r="O193" s="491"/>
      <c r="P193" s="491"/>
      <c r="Q193" s="491"/>
      <c r="R193" s="213"/>
      <c r="S193" s="224"/>
      <c r="T193" s="220"/>
      <c r="U193" s="214"/>
      <c r="V193" s="491"/>
      <c r="W193" s="491"/>
      <c r="X193" s="491"/>
      <c r="Y193" s="491"/>
      <c r="Z193" s="491"/>
      <c r="AA193" s="491"/>
      <c r="AB193" s="491"/>
      <c r="AC193" s="491"/>
      <c r="AD193" s="491"/>
      <c r="AE193" s="491"/>
      <c r="AF193" s="491"/>
      <c r="AG193" s="491"/>
      <c r="AH193" s="193"/>
    </row>
    <row r="194" spans="1:34" x14ac:dyDescent="0.25">
      <c r="A194" s="193"/>
      <c r="B194" s="492"/>
      <c r="C194" s="501"/>
      <c r="D194" s="492"/>
      <c r="E194" s="492"/>
      <c r="F194" s="492"/>
      <c r="G194" s="492"/>
      <c r="H194" s="492"/>
      <c r="I194" s="492"/>
      <c r="J194" s="492"/>
      <c r="K194" s="492"/>
      <c r="L194" s="492"/>
      <c r="M194" s="492"/>
      <c r="N194" s="492"/>
      <c r="O194" s="492"/>
      <c r="P194" s="492"/>
      <c r="Q194" s="492"/>
      <c r="R194" s="221"/>
      <c r="S194" s="493">
        <f>L190/12</f>
        <v>2.5</v>
      </c>
      <c r="T194" s="493"/>
      <c r="U194" s="222"/>
      <c r="V194" s="492"/>
      <c r="W194" s="492"/>
      <c r="X194" s="492"/>
      <c r="Y194" s="492"/>
      <c r="Z194" s="492"/>
      <c r="AA194" s="492"/>
      <c r="AB194" s="492"/>
      <c r="AC194" s="492"/>
      <c r="AD194" s="492"/>
      <c r="AE194" s="492"/>
      <c r="AF194" s="492"/>
      <c r="AG194" s="492"/>
      <c r="AH194" s="193"/>
    </row>
    <row r="195" spans="1:34" x14ac:dyDescent="0.25">
      <c r="A195" s="193"/>
      <c r="B195" s="490"/>
      <c r="C195" s="490" t="s">
        <v>277</v>
      </c>
      <c r="D195" s="490">
        <v>5</v>
      </c>
      <c r="E195" s="490">
        <v>0.625</v>
      </c>
      <c r="F195" s="494">
        <v>16</v>
      </c>
      <c r="G195" s="229"/>
      <c r="H195" s="490"/>
      <c r="I195" s="490">
        <f>ROUNDUP(G185/F195,0)</f>
        <v>13</v>
      </c>
      <c r="J195" s="490">
        <v>1</v>
      </c>
      <c r="K195" s="490">
        <v>6</v>
      </c>
      <c r="L195" s="490">
        <f>4*12-2</f>
        <v>46</v>
      </c>
      <c r="M195" s="490">
        <f>11*12</f>
        <v>132</v>
      </c>
      <c r="N195" s="490"/>
      <c r="O195" s="490"/>
      <c r="P195" s="490"/>
      <c r="Q195" s="490"/>
      <c r="R195" s="213"/>
      <c r="S195" s="498"/>
      <c r="T195" s="498"/>
      <c r="U195" s="214"/>
      <c r="V195" s="490">
        <f>SUM(R195:U199)</f>
        <v>15.333333333333334</v>
      </c>
      <c r="W195" s="490">
        <f>+SUM(K195:Q199)</f>
        <v>184</v>
      </c>
      <c r="X195" s="490">
        <f>(+I195*J195*W195)/12</f>
        <v>199.33333333333334</v>
      </c>
      <c r="Y195" s="490">
        <f t="shared" ref="Y195:AF195" si="34">IF(Y$4=$D195,$X195*Y$5,0)</f>
        <v>0</v>
      </c>
      <c r="Z195" s="490">
        <f t="shared" si="34"/>
        <v>0</v>
      </c>
      <c r="AA195" s="490">
        <f t="shared" si="34"/>
        <v>207.90466666666666</v>
      </c>
      <c r="AB195" s="490">
        <f t="shared" si="34"/>
        <v>0</v>
      </c>
      <c r="AC195" s="490">
        <f t="shared" si="34"/>
        <v>0</v>
      </c>
      <c r="AD195" s="490">
        <f t="shared" si="34"/>
        <v>0</v>
      </c>
      <c r="AE195" s="490">
        <f t="shared" si="34"/>
        <v>0</v>
      </c>
      <c r="AF195" s="490">
        <f t="shared" si="34"/>
        <v>0</v>
      </c>
      <c r="AG195" s="490"/>
      <c r="AH195" s="193"/>
    </row>
    <row r="196" spans="1:34" x14ac:dyDescent="0.25">
      <c r="A196" s="193"/>
      <c r="B196" s="491"/>
      <c r="C196" s="491"/>
      <c r="D196" s="491"/>
      <c r="E196" s="491"/>
      <c r="F196" s="495"/>
      <c r="G196" s="230"/>
      <c r="H196" s="491"/>
      <c r="I196" s="491"/>
      <c r="J196" s="491"/>
      <c r="K196" s="491"/>
      <c r="L196" s="491"/>
      <c r="M196" s="491"/>
      <c r="N196" s="491"/>
      <c r="O196" s="491"/>
      <c r="P196" s="491"/>
      <c r="Q196" s="491"/>
      <c r="R196" s="213"/>
      <c r="S196" s="215"/>
      <c r="T196" s="216"/>
      <c r="U196" s="214"/>
      <c r="V196" s="491"/>
      <c r="W196" s="491"/>
      <c r="X196" s="491"/>
      <c r="Y196" s="491"/>
      <c r="Z196" s="491"/>
      <c r="AA196" s="491"/>
      <c r="AB196" s="491"/>
      <c r="AC196" s="491"/>
      <c r="AD196" s="491"/>
      <c r="AE196" s="491"/>
      <c r="AF196" s="491"/>
      <c r="AG196" s="491"/>
      <c r="AH196" s="193"/>
    </row>
    <row r="197" spans="1:34" x14ac:dyDescent="0.25">
      <c r="A197" s="193"/>
      <c r="B197" s="491"/>
      <c r="C197" s="491"/>
      <c r="D197" s="491"/>
      <c r="E197" s="491"/>
      <c r="F197" s="495"/>
      <c r="G197" s="230"/>
      <c r="H197" s="491"/>
      <c r="I197" s="491"/>
      <c r="J197" s="491"/>
      <c r="K197" s="491"/>
      <c r="L197" s="491"/>
      <c r="M197" s="491"/>
      <c r="N197" s="491"/>
      <c r="O197" s="491"/>
      <c r="P197" s="491"/>
      <c r="Q197" s="491"/>
      <c r="R197" s="225">
        <f>K195/12</f>
        <v>0.5</v>
      </c>
      <c r="S197" s="218"/>
      <c r="T197" s="218"/>
      <c r="U197" s="219"/>
      <c r="V197" s="491"/>
      <c r="W197" s="491"/>
      <c r="X197" s="491"/>
      <c r="Y197" s="491"/>
      <c r="Z197" s="491"/>
      <c r="AA197" s="491"/>
      <c r="AB197" s="491"/>
      <c r="AC197" s="491"/>
      <c r="AD197" s="491"/>
      <c r="AE197" s="491"/>
      <c r="AF197" s="491"/>
      <c r="AG197" s="491"/>
      <c r="AH197" s="193"/>
    </row>
    <row r="198" spans="1:34" ht="15.75" thickBot="1" x14ac:dyDescent="0.3">
      <c r="A198" s="193"/>
      <c r="B198" s="491"/>
      <c r="C198" s="491"/>
      <c r="D198" s="491"/>
      <c r="E198" s="491"/>
      <c r="F198" s="495"/>
      <c r="G198" s="230"/>
      <c r="H198" s="491"/>
      <c r="I198" s="491"/>
      <c r="J198" s="491"/>
      <c r="K198" s="491"/>
      <c r="L198" s="491"/>
      <c r="M198" s="491"/>
      <c r="N198" s="491"/>
      <c r="O198" s="491"/>
      <c r="P198" s="491"/>
      <c r="Q198" s="491"/>
      <c r="R198" s="226"/>
      <c r="S198" s="220"/>
      <c r="T198" s="220"/>
      <c r="U198" s="214"/>
      <c r="V198" s="491"/>
      <c r="W198" s="491"/>
      <c r="X198" s="491"/>
      <c r="Y198" s="491"/>
      <c r="Z198" s="491"/>
      <c r="AA198" s="491"/>
      <c r="AB198" s="491"/>
      <c r="AC198" s="491"/>
      <c r="AD198" s="491"/>
      <c r="AE198" s="491"/>
      <c r="AF198" s="491"/>
      <c r="AG198" s="491"/>
      <c r="AH198" s="193"/>
    </row>
    <row r="199" spans="1:34" x14ac:dyDescent="0.25">
      <c r="A199" s="193"/>
      <c r="B199" s="492"/>
      <c r="C199" s="492"/>
      <c r="D199" s="491"/>
      <c r="E199" s="491"/>
      <c r="F199" s="496"/>
      <c r="G199" s="231"/>
      <c r="H199" s="492"/>
      <c r="I199" s="492"/>
      <c r="J199" s="492"/>
      <c r="K199" s="492"/>
      <c r="L199" s="492"/>
      <c r="M199" s="492"/>
      <c r="N199" s="492"/>
      <c r="O199" s="492"/>
      <c r="P199" s="492"/>
      <c r="Q199" s="492"/>
      <c r="R199" s="221"/>
      <c r="S199" s="493">
        <f>+SUM(L195:M199)/12</f>
        <v>14.833333333333334</v>
      </c>
      <c r="T199" s="493"/>
      <c r="U199" s="222"/>
      <c r="V199" s="492"/>
      <c r="W199" s="492"/>
      <c r="X199" s="492"/>
      <c r="Y199" s="492"/>
      <c r="Z199" s="492"/>
      <c r="AA199" s="492"/>
      <c r="AB199" s="492"/>
      <c r="AC199" s="492"/>
      <c r="AD199" s="492"/>
      <c r="AE199" s="492"/>
      <c r="AF199" s="492"/>
      <c r="AG199" s="492"/>
      <c r="AH199" s="193"/>
    </row>
    <row r="200" spans="1:34" x14ac:dyDescent="0.25">
      <c r="A200" s="193"/>
      <c r="B200" s="490"/>
      <c r="C200" s="490" t="s">
        <v>286</v>
      </c>
      <c r="D200" s="490">
        <v>5</v>
      </c>
      <c r="E200" s="490">
        <v>0.625</v>
      </c>
      <c r="F200" s="494">
        <v>16</v>
      </c>
      <c r="G200" s="229"/>
      <c r="H200" s="490"/>
      <c r="I200" s="490">
        <f>ROUNDUP(M195/F200,0)</f>
        <v>9</v>
      </c>
      <c r="J200" s="490">
        <v>1</v>
      </c>
      <c r="K200" s="490"/>
      <c r="L200" s="490">
        <f>G183-2-2</f>
        <v>197</v>
      </c>
      <c r="M200" s="490"/>
      <c r="N200" s="490"/>
      <c r="O200" s="490"/>
      <c r="P200" s="490"/>
      <c r="Q200" s="490"/>
      <c r="R200" s="213"/>
      <c r="S200" s="498"/>
      <c r="T200" s="498"/>
      <c r="U200" s="214"/>
      <c r="V200" s="490">
        <f>SUM(R200:U204)</f>
        <v>16.416666666666668</v>
      </c>
      <c r="W200" s="490">
        <f>+SUM(K200:Q204)</f>
        <v>197</v>
      </c>
      <c r="X200" s="490">
        <f>(+I200*J200*W200)/12</f>
        <v>147.75</v>
      </c>
      <c r="Y200" s="490">
        <f t="shared" ref="Y200:AF200" si="35">IF(Y$4=$D200,$X200*Y$5,0)</f>
        <v>0</v>
      </c>
      <c r="Z200" s="490">
        <f t="shared" si="35"/>
        <v>0</v>
      </c>
      <c r="AA200" s="490">
        <f t="shared" si="35"/>
        <v>154.10325</v>
      </c>
      <c r="AB200" s="490">
        <f t="shared" si="35"/>
        <v>0</v>
      </c>
      <c r="AC200" s="490">
        <f t="shared" si="35"/>
        <v>0</v>
      </c>
      <c r="AD200" s="490">
        <f t="shared" si="35"/>
        <v>0</v>
      </c>
      <c r="AE200" s="490">
        <f t="shared" si="35"/>
        <v>0</v>
      </c>
      <c r="AF200" s="490">
        <f t="shared" si="35"/>
        <v>0</v>
      </c>
      <c r="AG200" s="490"/>
      <c r="AH200" s="193"/>
    </row>
    <row r="201" spans="1:34" x14ac:dyDescent="0.25">
      <c r="A201" s="193"/>
      <c r="B201" s="491"/>
      <c r="C201" s="491"/>
      <c r="D201" s="491"/>
      <c r="E201" s="491"/>
      <c r="F201" s="495"/>
      <c r="G201" s="230"/>
      <c r="H201" s="491"/>
      <c r="I201" s="491"/>
      <c r="J201" s="491"/>
      <c r="K201" s="491"/>
      <c r="L201" s="491"/>
      <c r="M201" s="491"/>
      <c r="N201" s="491"/>
      <c r="O201" s="491"/>
      <c r="P201" s="491"/>
      <c r="Q201" s="491"/>
      <c r="R201" s="213"/>
      <c r="S201" s="215"/>
      <c r="T201" s="216"/>
      <c r="U201" s="214"/>
      <c r="V201" s="491"/>
      <c r="W201" s="491"/>
      <c r="X201" s="491"/>
      <c r="Y201" s="491"/>
      <c r="Z201" s="491"/>
      <c r="AA201" s="491"/>
      <c r="AB201" s="491"/>
      <c r="AC201" s="491"/>
      <c r="AD201" s="491"/>
      <c r="AE201" s="491"/>
      <c r="AF201" s="491"/>
      <c r="AG201" s="491"/>
      <c r="AH201" s="193"/>
    </row>
    <row r="202" spans="1:34" x14ac:dyDescent="0.25">
      <c r="A202" s="193"/>
      <c r="B202" s="491"/>
      <c r="C202" s="491"/>
      <c r="D202" s="491"/>
      <c r="E202" s="491"/>
      <c r="F202" s="495"/>
      <c r="G202" s="230"/>
      <c r="H202" s="491"/>
      <c r="I202" s="491"/>
      <c r="J202" s="491"/>
      <c r="K202" s="491"/>
      <c r="L202" s="491"/>
      <c r="M202" s="491"/>
      <c r="N202" s="491"/>
      <c r="O202" s="491"/>
      <c r="P202" s="491"/>
      <c r="Q202" s="497"/>
      <c r="R202" s="217"/>
      <c r="S202" s="218"/>
      <c r="T202" s="218"/>
      <c r="U202" s="219"/>
      <c r="V202" s="491"/>
      <c r="W202" s="491"/>
      <c r="X202" s="491"/>
      <c r="Y202" s="491"/>
      <c r="Z202" s="491"/>
      <c r="AA202" s="491"/>
      <c r="AB202" s="491"/>
      <c r="AC202" s="491"/>
      <c r="AD202" s="491"/>
      <c r="AE202" s="491"/>
      <c r="AF202" s="491"/>
      <c r="AG202" s="491"/>
      <c r="AH202" s="193"/>
    </row>
    <row r="203" spans="1:34" ht="15.75" thickBot="1" x14ac:dyDescent="0.3">
      <c r="A203" s="193"/>
      <c r="B203" s="491"/>
      <c r="C203" s="491"/>
      <c r="D203" s="491"/>
      <c r="E203" s="491"/>
      <c r="F203" s="495"/>
      <c r="G203" s="230"/>
      <c r="H203" s="491"/>
      <c r="I203" s="491"/>
      <c r="J203" s="491"/>
      <c r="K203" s="491"/>
      <c r="L203" s="491"/>
      <c r="M203" s="491"/>
      <c r="N203" s="491"/>
      <c r="O203" s="491"/>
      <c r="P203" s="491"/>
      <c r="Q203" s="497"/>
      <c r="R203" s="213"/>
      <c r="S203" s="220"/>
      <c r="T203" s="220"/>
      <c r="U203" s="214"/>
      <c r="V203" s="491"/>
      <c r="W203" s="491"/>
      <c r="X203" s="491"/>
      <c r="Y203" s="491"/>
      <c r="Z203" s="491"/>
      <c r="AA203" s="491"/>
      <c r="AB203" s="491"/>
      <c r="AC203" s="491"/>
      <c r="AD203" s="491"/>
      <c r="AE203" s="491"/>
      <c r="AF203" s="491"/>
      <c r="AG203" s="491"/>
      <c r="AH203" s="193"/>
    </row>
    <row r="204" spans="1:34" x14ac:dyDescent="0.25">
      <c r="A204" s="193"/>
      <c r="B204" s="492"/>
      <c r="C204" s="492"/>
      <c r="D204" s="491"/>
      <c r="E204" s="491"/>
      <c r="F204" s="496"/>
      <c r="G204" s="231"/>
      <c r="H204" s="492"/>
      <c r="I204" s="492"/>
      <c r="J204" s="492"/>
      <c r="K204" s="492"/>
      <c r="L204" s="492"/>
      <c r="M204" s="492"/>
      <c r="N204" s="492"/>
      <c r="O204" s="492"/>
      <c r="P204" s="492"/>
      <c r="Q204" s="492"/>
      <c r="R204" s="221"/>
      <c r="S204" s="493">
        <f>L200/12</f>
        <v>16.416666666666668</v>
      </c>
      <c r="T204" s="493"/>
      <c r="U204" s="222"/>
      <c r="V204" s="492"/>
      <c r="W204" s="492"/>
      <c r="X204" s="492"/>
      <c r="Y204" s="492"/>
      <c r="Z204" s="492"/>
      <c r="AA204" s="492"/>
      <c r="AB204" s="492"/>
      <c r="AC204" s="492"/>
      <c r="AD204" s="492"/>
      <c r="AE204" s="492"/>
      <c r="AF204" s="492"/>
      <c r="AG204" s="492"/>
      <c r="AH204" s="193"/>
    </row>
    <row r="205" spans="1:34" ht="15.75" thickBot="1" x14ac:dyDescent="0.3">
      <c r="A205" s="195"/>
      <c r="B205" s="200" t="s">
        <v>294</v>
      </c>
      <c r="C205" s="199" t="s">
        <v>264</v>
      </c>
      <c r="D205" s="197">
        <v>60</v>
      </c>
      <c r="E205" s="201">
        <v>8</v>
      </c>
      <c r="F205" s="202"/>
      <c r="G205" s="202">
        <f>5.17*12</f>
        <v>62.04</v>
      </c>
      <c r="H205" s="202">
        <v>20</v>
      </c>
      <c r="I205" s="202">
        <v>12</v>
      </c>
      <c r="J205" s="202">
        <v>12</v>
      </c>
      <c r="K205" s="199"/>
      <c r="L205" s="199"/>
      <c r="M205" s="199"/>
      <c r="N205" s="199"/>
      <c r="O205" s="199"/>
      <c r="P205" s="199"/>
      <c r="Q205" s="198"/>
      <c r="R205" s="196"/>
      <c r="S205" s="196"/>
      <c r="T205" s="196"/>
      <c r="U205" s="196"/>
      <c r="V205" s="203"/>
      <c r="W205" s="202"/>
      <c r="X205" s="202"/>
      <c r="Y205" s="199"/>
      <c r="Z205" s="199"/>
      <c r="AA205" s="199"/>
      <c r="AB205" s="199"/>
      <c r="AC205" s="199"/>
      <c r="AD205" s="199"/>
      <c r="AE205" s="199"/>
      <c r="AF205" s="199"/>
      <c r="AG205" s="199"/>
      <c r="AH205" s="195"/>
    </row>
    <row r="206" spans="1:34" ht="15.75" thickBot="1" x14ac:dyDescent="0.3">
      <c r="A206" s="193"/>
      <c r="B206" s="204"/>
      <c r="C206" s="205"/>
      <c r="D206" s="194"/>
      <c r="E206" s="206"/>
      <c r="F206" s="205"/>
      <c r="G206" s="205"/>
      <c r="H206" s="207">
        <v>3</v>
      </c>
      <c r="I206" s="207">
        <v>2</v>
      </c>
      <c r="J206" s="205"/>
      <c r="K206" s="205"/>
      <c r="L206" s="205"/>
      <c r="M206" s="205"/>
      <c r="N206" s="205"/>
      <c r="O206" s="205"/>
      <c r="P206" s="205"/>
      <c r="Q206" s="208"/>
      <c r="R206" s="209"/>
      <c r="S206" s="210"/>
      <c r="T206" s="210"/>
      <c r="U206" s="211"/>
      <c r="V206" s="212"/>
      <c r="W206" s="204"/>
      <c r="X206" s="204"/>
      <c r="Y206" s="205"/>
      <c r="Z206" s="205"/>
      <c r="AA206" s="205"/>
      <c r="AB206" s="205"/>
      <c r="AC206" s="205"/>
      <c r="AD206" s="205"/>
      <c r="AE206" s="205"/>
      <c r="AF206" s="205"/>
      <c r="AG206" s="205"/>
      <c r="AH206" s="193"/>
    </row>
    <row r="207" spans="1:34" x14ac:dyDescent="0.25">
      <c r="A207" s="193"/>
      <c r="B207" s="490"/>
      <c r="C207" s="499" t="s">
        <v>265</v>
      </c>
      <c r="D207" s="490">
        <v>5</v>
      </c>
      <c r="E207" s="490">
        <v>0.625</v>
      </c>
      <c r="F207" s="490"/>
      <c r="G207" s="490">
        <f>G205</f>
        <v>62.04</v>
      </c>
      <c r="H207" s="490"/>
      <c r="I207" s="490">
        <v>2</v>
      </c>
      <c r="J207" s="490">
        <v>1</v>
      </c>
      <c r="K207" s="490"/>
      <c r="L207" s="490">
        <f>G205-2-2</f>
        <v>58.04</v>
      </c>
      <c r="M207" s="490"/>
      <c r="N207" s="490"/>
      <c r="O207" s="490"/>
      <c r="P207" s="490"/>
      <c r="Q207" s="490"/>
      <c r="R207" s="213"/>
      <c r="S207" s="502"/>
      <c r="T207" s="502"/>
      <c r="U207" s="214"/>
      <c r="V207" s="490">
        <f>SUM(R207:U211)</f>
        <v>4.8366666666666669</v>
      </c>
      <c r="W207" s="490">
        <f>+SUM(K207:Q211)</f>
        <v>58.04</v>
      </c>
      <c r="X207" s="490">
        <f>(+I207*J207*W207)/12</f>
        <v>9.6733333333333338</v>
      </c>
      <c r="Y207" s="490">
        <f>IF(Y$4=$D207,$X207*Y$5,0)</f>
        <v>0</v>
      </c>
      <c r="Z207" s="490">
        <f t="shared" ref="Z207:AF207" si="36">IF(Z$4=$D207,$X207*Z$5,0)</f>
        <v>0</v>
      </c>
      <c r="AA207" s="490">
        <f t="shared" si="36"/>
        <v>10.089286666666666</v>
      </c>
      <c r="AB207" s="490">
        <f t="shared" si="36"/>
        <v>0</v>
      </c>
      <c r="AC207" s="490">
        <f t="shared" si="36"/>
        <v>0</v>
      </c>
      <c r="AD207" s="490">
        <f t="shared" si="36"/>
        <v>0</v>
      </c>
      <c r="AE207" s="490">
        <f t="shared" si="36"/>
        <v>0</v>
      </c>
      <c r="AF207" s="490">
        <f t="shared" si="36"/>
        <v>0</v>
      </c>
      <c r="AG207" s="490"/>
      <c r="AH207" s="193"/>
    </row>
    <row r="208" spans="1:34" x14ac:dyDescent="0.25">
      <c r="A208" s="193"/>
      <c r="B208" s="491"/>
      <c r="C208" s="500"/>
      <c r="D208" s="491"/>
      <c r="E208" s="491"/>
      <c r="F208" s="491"/>
      <c r="G208" s="491"/>
      <c r="H208" s="491"/>
      <c r="I208" s="491"/>
      <c r="J208" s="491"/>
      <c r="K208" s="491"/>
      <c r="L208" s="491"/>
      <c r="M208" s="491"/>
      <c r="N208" s="491"/>
      <c r="O208" s="491"/>
      <c r="P208" s="491"/>
      <c r="Q208" s="491"/>
      <c r="R208" s="213"/>
      <c r="S208" s="215"/>
      <c r="T208" s="216"/>
      <c r="U208" s="214"/>
      <c r="V208" s="491"/>
      <c r="W208" s="491"/>
      <c r="X208" s="491"/>
      <c r="Y208" s="491"/>
      <c r="Z208" s="491"/>
      <c r="AA208" s="491"/>
      <c r="AB208" s="491"/>
      <c r="AC208" s="491"/>
      <c r="AD208" s="491"/>
      <c r="AE208" s="491"/>
      <c r="AF208" s="491"/>
      <c r="AG208" s="491"/>
      <c r="AH208" s="193"/>
    </row>
    <row r="209" spans="1:34" x14ac:dyDescent="0.25">
      <c r="A209" s="193"/>
      <c r="B209" s="491"/>
      <c r="C209" s="500"/>
      <c r="D209" s="491"/>
      <c r="E209" s="491"/>
      <c r="F209" s="491"/>
      <c r="G209" s="491"/>
      <c r="H209" s="491"/>
      <c r="I209" s="491"/>
      <c r="J209" s="491"/>
      <c r="K209" s="491"/>
      <c r="L209" s="491"/>
      <c r="M209" s="491"/>
      <c r="N209" s="491"/>
      <c r="O209" s="491"/>
      <c r="P209" s="491"/>
      <c r="Q209" s="491"/>
      <c r="R209" s="217"/>
      <c r="S209" s="218"/>
      <c r="T209" s="218"/>
      <c r="U209" s="219"/>
      <c r="V209" s="491"/>
      <c r="W209" s="491"/>
      <c r="X209" s="491"/>
      <c r="Y209" s="491"/>
      <c r="Z209" s="491"/>
      <c r="AA209" s="491"/>
      <c r="AB209" s="491"/>
      <c r="AC209" s="491"/>
      <c r="AD209" s="491"/>
      <c r="AE209" s="491"/>
      <c r="AF209" s="491"/>
      <c r="AG209" s="491"/>
      <c r="AH209" s="193"/>
    </row>
    <row r="210" spans="1:34" ht="15.75" thickBot="1" x14ac:dyDescent="0.3">
      <c r="A210" s="193"/>
      <c r="B210" s="491"/>
      <c r="C210" s="500"/>
      <c r="D210" s="491"/>
      <c r="E210" s="491"/>
      <c r="F210" s="491"/>
      <c r="G210" s="491"/>
      <c r="H210" s="491"/>
      <c r="I210" s="491"/>
      <c r="J210" s="491"/>
      <c r="K210" s="491"/>
      <c r="L210" s="491"/>
      <c r="M210" s="491"/>
      <c r="N210" s="491"/>
      <c r="O210" s="491"/>
      <c r="P210" s="491"/>
      <c r="Q210" s="491"/>
      <c r="R210" s="213"/>
      <c r="S210" s="220"/>
      <c r="T210" s="220"/>
      <c r="U210" s="214"/>
      <c r="V210" s="491"/>
      <c r="W210" s="491"/>
      <c r="X210" s="491"/>
      <c r="Y210" s="491"/>
      <c r="Z210" s="491"/>
      <c r="AA210" s="491"/>
      <c r="AB210" s="491"/>
      <c r="AC210" s="491"/>
      <c r="AD210" s="491"/>
      <c r="AE210" s="491"/>
      <c r="AF210" s="491"/>
      <c r="AG210" s="491"/>
      <c r="AH210" s="193"/>
    </row>
    <row r="211" spans="1:34" x14ac:dyDescent="0.25">
      <c r="A211" s="193"/>
      <c r="B211" s="492"/>
      <c r="C211" s="501"/>
      <c r="D211" s="492"/>
      <c r="E211" s="492"/>
      <c r="F211" s="492"/>
      <c r="G211" s="492"/>
      <c r="H211" s="492"/>
      <c r="I211" s="492"/>
      <c r="J211" s="492"/>
      <c r="K211" s="492"/>
      <c r="L211" s="492"/>
      <c r="M211" s="492"/>
      <c r="N211" s="492"/>
      <c r="O211" s="492"/>
      <c r="P211" s="492"/>
      <c r="Q211" s="492"/>
      <c r="R211" s="221"/>
      <c r="S211" s="493">
        <f>L207/12</f>
        <v>4.8366666666666669</v>
      </c>
      <c r="T211" s="493"/>
      <c r="U211" s="222"/>
      <c r="V211" s="492"/>
      <c r="W211" s="492"/>
      <c r="X211" s="492"/>
      <c r="Y211" s="492"/>
      <c r="Z211" s="492"/>
      <c r="AA211" s="492"/>
      <c r="AB211" s="492"/>
      <c r="AC211" s="492"/>
      <c r="AD211" s="492"/>
      <c r="AE211" s="492"/>
      <c r="AF211" s="492"/>
      <c r="AG211" s="492"/>
      <c r="AH211" s="193"/>
    </row>
    <row r="212" spans="1:34" x14ac:dyDescent="0.25">
      <c r="A212" s="193"/>
      <c r="B212" s="490"/>
      <c r="C212" s="499" t="s">
        <v>271</v>
      </c>
      <c r="D212" s="490">
        <v>5</v>
      </c>
      <c r="E212" s="490">
        <v>0.625</v>
      </c>
      <c r="F212" s="490"/>
      <c r="G212" s="490"/>
      <c r="H212" s="490"/>
      <c r="I212" s="490">
        <v>2</v>
      </c>
      <c r="J212" s="490">
        <v>2</v>
      </c>
      <c r="K212" s="490">
        <v>30</v>
      </c>
      <c r="L212" s="490">
        <v>30</v>
      </c>
      <c r="M212" s="490"/>
      <c r="N212" s="490"/>
      <c r="O212" s="490"/>
      <c r="P212" s="490"/>
      <c r="Q212" s="490"/>
      <c r="R212" s="213"/>
      <c r="S212" s="498"/>
      <c r="T212" s="498"/>
      <c r="U212" s="214"/>
      <c r="V212" s="490">
        <f>SUM(R212:U216)</f>
        <v>5</v>
      </c>
      <c r="W212" s="490">
        <f>+SUM(K212:Q216)</f>
        <v>60</v>
      </c>
      <c r="X212" s="490">
        <f>(+I212*J212*W212)/12</f>
        <v>20</v>
      </c>
      <c r="Y212" s="490">
        <f t="shared" ref="Y212:AF212" si="37">IF(Y$4=$D212,$X212*Y$5,0)</f>
        <v>0</v>
      </c>
      <c r="Z212" s="490">
        <f t="shared" si="37"/>
        <v>0</v>
      </c>
      <c r="AA212" s="490">
        <f t="shared" si="37"/>
        <v>20.86</v>
      </c>
      <c r="AB212" s="490">
        <f t="shared" si="37"/>
        <v>0</v>
      </c>
      <c r="AC212" s="490">
        <f t="shared" si="37"/>
        <v>0</v>
      </c>
      <c r="AD212" s="490">
        <f t="shared" si="37"/>
        <v>0</v>
      </c>
      <c r="AE212" s="490">
        <f t="shared" si="37"/>
        <v>0</v>
      </c>
      <c r="AF212" s="490">
        <f t="shared" si="37"/>
        <v>0</v>
      </c>
      <c r="AG212" s="490"/>
      <c r="AH212" s="193"/>
    </row>
    <row r="213" spans="1:34" x14ac:dyDescent="0.25">
      <c r="A213" s="193"/>
      <c r="B213" s="491"/>
      <c r="C213" s="500"/>
      <c r="D213" s="491"/>
      <c r="E213" s="491"/>
      <c r="F213" s="491"/>
      <c r="G213" s="491"/>
      <c r="H213" s="491"/>
      <c r="I213" s="491"/>
      <c r="J213" s="491"/>
      <c r="K213" s="491"/>
      <c r="L213" s="491"/>
      <c r="M213" s="491"/>
      <c r="N213" s="491"/>
      <c r="O213" s="491"/>
      <c r="P213" s="491"/>
      <c r="Q213" s="491"/>
      <c r="R213" s="213"/>
      <c r="S213" s="215"/>
      <c r="T213" s="216"/>
      <c r="U213" s="214"/>
      <c r="V213" s="491"/>
      <c r="W213" s="491"/>
      <c r="X213" s="491"/>
      <c r="Y213" s="491"/>
      <c r="Z213" s="491"/>
      <c r="AA213" s="491"/>
      <c r="AB213" s="491"/>
      <c r="AC213" s="491"/>
      <c r="AD213" s="491"/>
      <c r="AE213" s="491"/>
      <c r="AF213" s="491"/>
      <c r="AG213" s="491"/>
      <c r="AH213" s="193"/>
    </row>
    <row r="214" spans="1:34" x14ac:dyDescent="0.25">
      <c r="A214" s="193"/>
      <c r="B214" s="491"/>
      <c r="C214" s="500"/>
      <c r="D214" s="491"/>
      <c r="E214" s="491"/>
      <c r="F214" s="491"/>
      <c r="G214" s="491"/>
      <c r="H214" s="491"/>
      <c r="I214" s="491"/>
      <c r="J214" s="491"/>
      <c r="K214" s="491"/>
      <c r="L214" s="491"/>
      <c r="M214" s="491"/>
      <c r="N214" s="491"/>
      <c r="O214" s="491"/>
      <c r="P214" s="491"/>
      <c r="Q214" s="491"/>
      <c r="R214" s="217">
        <f>K212/12</f>
        <v>2.5</v>
      </c>
      <c r="S214" s="223"/>
      <c r="T214" s="195"/>
      <c r="U214" s="219"/>
      <c r="V214" s="491"/>
      <c r="W214" s="491"/>
      <c r="X214" s="491"/>
      <c r="Y214" s="491"/>
      <c r="Z214" s="491"/>
      <c r="AA214" s="491"/>
      <c r="AB214" s="491"/>
      <c r="AC214" s="491"/>
      <c r="AD214" s="491"/>
      <c r="AE214" s="491"/>
      <c r="AF214" s="491"/>
      <c r="AG214" s="491"/>
      <c r="AH214" s="193"/>
    </row>
    <row r="215" spans="1:34" ht="15.75" thickBot="1" x14ac:dyDescent="0.3">
      <c r="A215" s="193"/>
      <c r="B215" s="491"/>
      <c r="C215" s="500"/>
      <c r="D215" s="491"/>
      <c r="E215" s="491"/>
      <c r="F215" s="491"/>
      <c r="G215" s="491"/>
      <c r="H215" s="491"/>
      <c r="I215" s="491"/>
      <c r="J215" s="491"/>
      <c r="K215" s="491"/>
      <c r="L215" s="491"/>
      <c r="M215" s="491"/>
      <c r="N215" s="491"/>
      <c r="O215" s="491"/>
      <c r="P215" s="491"/>
      <c r="Q215" s="491"/>
      <c r="R215" s="213"/>
      <c r="S215" s="224"/>
      <c r="T215" s="220"/>
      <c r="U215" s="214"/>
      <c r="V215" s="491"/>
      <c r="W215" s="491"/>
      <c r="X215" s="491"/>
      <c r="Y215" s="491"/>
      <c r="Z215" s="491"/>
      <c r="AA215" s="491"/>
      <c r="AB215" s="491"/>
      <c r="AC215" s="491"/>
      <c r="AD215" s="491"/>
      <c r="AE215" s="491"/>
      <c r="AF215" s="491"/>
      <c r="AG215" s="491"/>
      <c r="AH215" s="193"/>
    </row>
    <row r="216" spans="1:34" x14ac:dyDescent="0.25">
      <c r="A216" s="193"/>
      <c r="B216" s="492"/>
      <c r="C216" s="501"/>
      <c r="D216" s="492"/>
      <c r="E216" s="492"/>
      <c r="F216" s="492"/>
      <c r="G216" s="492"/>
      <c r="H216" s="492"/>
      <c r="I216" s="492"/>
      <c r="J216" s="492"/>
      <c r="K216" s="492"/>
      <c r="L216" s="492"/>
      <c r="M216" s="492"/>
      <c r="N216" s="492"/>
      <c r="O216" s="492"/>
      <c r="P216" s="492"/>
      <c r="Q216" s="492"/>
      <c r="R216" s="221"/>
      <c r="S216" s="493">
        <f>L212/12</f>
        <v>2.5</v>
      </c>
      <c r="T216" s="493"/>
      <c r="U216" s="222"/>
      <c r="V216" s="492"/>
      <c r="W216" s="492"/>
      <c r="X216" s="492"/>
      <c r="Y216" s="492"/>
      <c r="Z216" s="492"/>
      <c r="AA216" s="492"/>
      <c r="AB216" s="492"/>
      <c r="AC216" s="492"/>
      <c r="AD216" s="492"/>
      <c r="AE216" s="492"/>
      <c r="AF216" s="492"/>
      <c r="AG216" s="492"/>
      <c r="AH216" s="193"/>
    </row>
    <row r="217" spans="1:34" x14ac:dyDescent="0.25">
      <c r="A217" s="193"/>
      <c r="B217" s="490"/>
      <c r="C217" s="490" t="s">
        <v>277</v>
      </c>
      <c r="D217" s="490">
        <v>5</v>
      </c>
      <c r="E217" s="490">
        <v>0.625</v>
      </c>
      <c r="F217" s="494">
        <v>16</v>
      </c>
      <c r="G217" s="229"/>
      <c r="H217" s="490"/>
      <c r="I217" s="490">
        <f>ROUNDUP(G207/F217,0)</f>
        <v>4</v>
      </c>
      <c r="J217" s="490">
        <v>1</v>
      </c>
      <c r="K217" s="490">
        <v>6</v>
      </c>
      <c r="L217" s="490">
        <f>4*12-2</f>
        <v>46</v>
      </c>
      <c r="M217" s="490">
        <f>11*12</f>
        <v>132</v>
      </c>
      <c r="N217" s="490"/>
      <c r="O217" s="490"/>
      <c r="P217" s="490"/>
      <c r="Q217" s="490"/>
      <c r="R217" s="213"/>
      <c r="S217" s="498"/>
      <c r="T217" s="498"/>
      <c r="U217" s="214"/>
      <c r="V217" s="490">
        <f>SUM(R217:U221)</f>
        <v>15.333333333333334</v>
      </c>
      <c r="W217" s="490">
        <f>+SUM(K217:Q221)</f>
        <v>184</v>
      </c>
      <c r="X217" s="490">
        <f>(+I217*J217*W217)/12</f>
        <v>61.333333333333336</v>
      </c>
      <c r="Y217" s="490">
        <f t="shared" ref="Y217:AF217" si="38">IF(Y$4=$D217,$X217*Y$5,0)</f>
        <v>0</v>
      </c>
      <c r="Z217" s="490">
        <f t="shared" si="38"/>
        <v>0</v>
      </c>
      <c r="AA217" s="490">
        <f t="shared" si="38"/>
        <v>63.970666666666666</v>
      </c>
      <c r="AB217" s="490">
        <f t="shared" si="38"/>
        <v>0</v>
      </c>
      <c r="AC217" s="490">
        <f t="shared" si="38"/>
        <v>0</v>
      </c>
      <c r="AD217" s="490">
        <f t="shared" si="38"/>
        <v>0</v>
      </c>
      <c r="AE217" s="490">
        <f t="shared" si="38"/>
        <v>0</v>
      </c>
      <c r="AF217" s="490">
        <f t="shared" si="38"/>
        <v>0</v>
      </c>
      <c r="AG217" s="490"/>
      <c r="AH217" s="193"/>
    </row>
    <row r="218" spans="1:34" x14ac:dyDescent="0.25">
      <c r="A218" s="193"/>
      <c r="B218" s="491"/>
      <c r="C218" s="491"/>
      <c r="D218" s="491"/>
      <c r="E218" s="491"/>
      <c r="F218" s="495"/>
      <c r="G218" s="230"/>
      <c r="H218" s="491"/>
      <c r="I218" s="491"/>
      <c r="J218" s="491"/>
      <c r="K218" s="491"/>
      <c r="L218" s="491"/>
      <c r="M218" s="491"/>
      <c r="N218" s="491"/>
      <c r="O218" s="491"/>
      <c r="P218" s="491"/>
      <c r="Q218" s="491"/>
      <c r="R218" s="213"/>
      <c r="S218" s="215"/>
      <c r="T218" s="216"/>
      <c r="U218" s="214"/>
      <c r="V218" s="491"/>
      <c r="W218" s="491"/>
      <c r="X218" s="491"/>
      <c r="Y218" s="491"/>
      <c r="Z218" s="491"/>
      <c r="AA218" s="491"/>
      <c r="AB218" s="491"/>
      <c r="AC218" s="491"/>
      <c r="AD218" s="491"/>
      <c r="AE218" s="491"/>
      <c r="AF218" s="491"/>
      <c r="AG218" s="491"/>
      <c r="AH218" s="193"/>
    </row>
    <row r="219" spans="1:34" x14ac:dyDescent="0.25">
      <c r="A219" s="193"/>
      <c r="B219" s="491"/>
      <c r="C219" s="491"/>
      <c r="D219" s="491"/>
      <c r="E219" s="491"/>
      <c r="F219" s="495"/>
      <c r="G219" s="230"/>
      <c r="H219" s="491"/>
      <c r="I219" s="491"/>
      <c r="J219" s="491"/>
      <c r="K219" s="491"/>
      <c r="L219" s="491"/>
      <c r="M219" s="491"/>
      <c r="N219" s="491"/>
      <c r="O219" s="491"/>
      <c r="P219" s="491"/>
      <c r="Q219" s="491"/>
      <c r="R219" s="225">
        <f>K217/12</f>
        <v>0.5</v>
      </c>
      <c r="S219" s="218"/>
      <c r="T219" s="218"/>
      <c r="U219" s="219"/>
      <c r="V219" s="491"/>
      <c r="W219" s="491"/>
      <c r="X219" s="491"/>
      <c r="Y219" s="491"/>
      <c r="Z219" s="491"/>
      <c r="AA219" s="491"/>
      <c r="AB219" s="491"/>
      <c r="AC219" s="491"/>
      <c r="AD219" s="491"/>
      <c r="AE219" s="491"/>
      <c r="AF219" s="491"/>
      <c r="AG219" s="491"/>
      <c r="AH219" s="193"/>
    </row>
    <row r="220" spans="1:34" ht="15.75" thickBot="1" x14ac:dyDescent="0.3">
      <c r="A220" s="193"/>
      <c r="B220" s="491"/>
      <c r="C220" s="491"/>
      <c r="D220" s="491"/>
      <c r="E220" s="491"/>
      <c r="F220" s="495"/>
      <c r="G220" s="230"/>
      <c r="H220" s="491"/>
      <c r="I220" s="491"/>
      <c r="J220" s="491"/>
      <c r="K220" s="491"/>
      <c r="L220" s="491"/>
      <c r="M220" s="491"/>
      <c r="N220" s="491"/>
      <c r="O220" s="491"/>
      <c r="P220" s="491"/>
      <c r="Q220" s="491"/>
      <c r="R220" s="226"/>
      <c r="S220" s="220"/>
      <c r="T220" s="220"/>
      <c r="U220" s="214"/>
      <c r="V220" s="491"/>
      <c r="W220" s="491"/>
      <c r="X220" s="491"/>
      <c r="Y220" s="491"/>
      <c r="Z220" s="491"/>
      <c r="AA220" s="491"/>
      <c r="AB220" s="491"/>
      <c r="AC220" s="491"/>
      <c r="AD220" s="491"/>
      <c r="AE220" s="491"/>
      <c r="AF220" s="491"/>
      <c r="AG220" s="491"/>
      <c r="AH220" s="193"/>
    </row>
    <row r="221" spans="1:34" x14ac:dyDescent="0.25">
      <c r="A221" s="193"/>
      <c r="B221" s="492"/>
      <c r="C221" s="492"/>
      <c r="D221" s="491"/>
      <c r="E221" s="491"/>
      <c r="F221" s="496"/>
      <c r="G221" s="231"/>
      <c r="H221" s="492"/>
      <c r="I221" s="492"/>
      <c r="J221" s="492"/>
      <c r="K221" s="492"/>
      <c r="L221" s="492"/>
      <c r="M221" s="492"/>
      <c r="N221" s="492"/>
      <c r="O221" s="492"/>
      <c r="P221" s="492"/>
      <c r="Q221" s="492"/>
      <c r="R221" s="221"/>
      <c r="S221" s="493">
        <f>+SUM(L217:M221)/12</f>
        <v>14.833333333333334</v>
      </c>
      <c r="T221" s="493"/>
      <c r="U221" s="222"/>
      <c r="V221" s="492"/>
      <c r="W221" s="492"/>
      <c r="X221" s="492"/>
      <c r="Y221" s="492"/>
      <c r="Z221" s="492"/>
      <c r="AA221" s="492"/>
      <c r="AB221" s="492"/>
      <c r="AC221" s="492"/>
      <c r="AD221" s="492"/>
      <c r="AE221" s="492"/>
      <c r="AF221" s="492"/>
      <c r="AG221" s="492"/>
      <c r="AH221" s="193"/>
    </row>
    <row r="222" spans="1:34" x14ac:dyDescent="0.25">
      <c r="A222" s="193"/>
      <c r="B222" s="490"/>
      <c r="C222" s="490" t="s">
        <v>286</v>
      </c>
      <c r="D222" s="490">
        <v>5</v>
      </c>
      <c r="E222" s="490">
        <v>0.625</v>
      </c>
      <c r="F222" s="494">
        <v>16</v>
      </c>
      <c r="G222" s="229"/>
      <c r="H222" s="490"/>
      <c r="I222" s="490">
        <f>ROUNDUP(M217/F222,0)</f>
        <v>9</v>
      </c>
      <c r="J222" s="490">
        <v>1</v>
      </c>
      <c r="K222" s="490"/>
      <c r="L222" s="490">
        <f>G205-2-2</f>
        <v>58.04</v>
      </c>
      <c r="M222" s="490"/>
      <c r="N222" s="490"/>
      <c r="O222" s="490"/>
      <c r="P222" s="490"/>
      <c r="Q222" s="490"/>
      <c r="R222" s="213"/>
      <c r="S222" s="498"/>
      <c r="T222" s="498"/>
      <c r="U222" s="214"/>
      <c r="V222" s="490">
        <f>SUM(R222:U226)</f>
        <v>4.8366666666666669</v>
      </c>
      <c r="W222" s="490">
        <f>+SUM(K222:Q226)</f>
        <v>58.04</v>
      </c>
      <c r="X222" s="490">
        <f>(+I222*J222*W222)/12</f>
        <v>43.53</v>
      </c>
      <c r="Y222" s="490">
        <f t="shared" ref="Y222:AF222" si="39">IF(Y$4=$D222,$X222*Y$5,0)</f>
        <v>0</v>
      </c>
      <c r="Z222" s="490">
        <f t="shared" si="39"/>
        <v>0</v>
      </c>
      <c r="AA222" s="490">
        <f t="shared" si="39"/>
        <v>45.401789999999998</v>
      </c>
      <c r="AB222" s="490">
        <f t="shared" si="39"/>
        <v>0</v>
      </c>
      <c r="AC222" s="490">
        <f t="shared" si="39"/>
        <v>0</v>
      </c>
      <c r="AD222" s="490">
        <f t="shared" si="39"/>
        <v>0</v>
      </c>
      <c r="AE222" s="490">
        <f t="shared" si="39"/>
        <v>0</v>
      </c>
      <c r="AF222" s="490">
        <f t="shared" si="39"/>
        <v>0</v>
      </c>
      <c r="AG222" s="490"/>
      <c r="AH222" s="193"/>
    </row>
    <row r="223" spans="1:34" x14ac:dyDescent="0.25">
      <c r="A223" s="193"/>
      <c r="B223" s="491"/>
      <c r="C223" s="491"/>
      <c r="D223" s="491"/>
      <c r="E223" s="491"/>
      <c r="F223" s="495"/>
      <c r="G223" s="230"/>
      <c r="H223" s="491"/>
      <c r="I223" s="491"/>
      <c r="J223" s="491"/>
      <c r="K223" s="491"/>
      <c r="L223" s="491"/>
      <c r="M223" s="491"/>
      <c r="N223" s="491"/>
      <c r="O223" s="491"/>
      <c r="P223" s="491"/>
      <c r="Q223" s="491"/>
      <c r="R223" s="213"/>
      <c r="S223" s="215"/>
      <c r="T223" s="216"/>
      <c r="U223" s="214"/>
      <c r="V223" s="491"/>
      <c r="W223" s="491"/>
      <c r="X223" s="491"/>
      <c r="Y223" s="491"/>
      <c r="Z223" s="491"/>
      <c r="AA223" s="491"/>
      <c r="AB223" s="491"/>
      <c r="AC223" s="491"/>
      <c r="AD223" s="491"/>
      <c r="AE223" s="491"/>
      <c r="AF223" s="491"/>
      <c r="AG223" s="491"/>
      <c r="AH223" s="193"/>
    </row>
    <row r="224" spans="1:34" x14ac:dyDescent="0.25">
      <c r="A224" s="193"/>
      <c r="B224" s="491"/>
      <c r="C224" s="491"/>
      <c r="D224" s="491"/>
      <c r="E224" s="491"/>
      <c r="F224" s="495"/>
      <c r="G224" s="230"/>
      <c r="H224" s="491"/>
      <c r="I224" s="491"/>
      <c r="J224" s="491"/>
      <c r="K224" s="491"/>
      <c r="L224" s="491"/>
      <c r="M224" s="491"/>
      <c r="N224" s="491"/>
      <c r="O224" s="491"/>
      <c r="P224" s="491"/>
      <c r="Q224" s="497"/>
      <c r="R224" s="217"/>
      <c r="S224" s="218"/>
      <c r="T224" s="218"/>
      <c r="U224" s="219"/>
      <c r="V224" s="491"/>
      <c r="W224" s="491"/>
      <c r="X224" s="491"/>
      <c r="Y224" s="491"/>
      <c r="Z224" s="491"/>
      <c r="AA224" s="491"/>
      <c r="AB224" s="491"/>
      <c r="AC224" s="491"/>
      <c r="AD224" s="491"/>
      <c r="AE224" s="491"/>
      <c r="AF224" s="491"/>
      <c r="AG224" s="491"/>
      <c r="AH224" s="193"/>
    </row>
    <row r="225" spans="1:34" ht="15.75" thickBot="1" x14ac:dyDescent="0.3">
      <c r="A225" s="193"/>
      <c r="B225" s="491"/>
      <c r="C225" s="491"/>
      <c r="D225" s="491"/>
      <c r="E225" s="491"/>
      <c r="F225" s="495"/>
      <c r="G225" s="230"/>
      <c r="H225" s="491"/>
      <c r="I225" s="491"/>
      <c r="J225" s="491"/>
      <c r="K225" s="491"/>
      <c r="L225" s="491"/>
      <c r="M225" s="491"/>
      <c r="N225" s="491"/>
      <c r="O225" s="491"/>
      <c r="P225" s="491"/>
      <c r="Q225" s="497"/>
      <c r="R225" s="213"/>
      <c r="S225" s="220"/>
      <c r="T225" s="220"/>
      <c r="U225" s="214"/>
      <c r="V225" s="491"/>
      <c r="W225" s="491"/>
      <c r="X225" s="491"/>
      <c r="Y225" s="491"/>
      <c r="Z225" s="491"/>
      <c r="AA225" s="491"/>
      <c r="AB225" s="491"/>
      <c r="AC225" s="491"/>
      <c r="AD225" s="491"/>
      <c r="AE225" s="491"/>
      <c r="AF225" s="491"/>
      <c r="AG225" s="491"/>
      <c r="AH225" s="193"/>
    </row>
    <row r="226" spans="1:34" x14ac:dyDescent="0.25">
      <c r="A226" s="193"/>
      <c r="B226" s="492"/>
      <c r="C226" s="492"/>
      <c r="D226" s="491"/>
      <c r="E226" s="491"/>
      <c r="F226" s="496"/>
      <c r="G226" s="231"/>
      <c r="H226" s="492"/>
      <c r="I226" s="492"/>
      <c r="J226" s="492"/>
      <c r="K226" s="492"/>
      <c r="L226" s="492"/>
      <c r="M226" s="492"/>
      <c r="N226" s="492"/>
      <c r="O226" s="492"/>
      <c r="P226" s="492"/>
      <c r="Q226" s="492"/>
      <c r="R226" s="221"/>
      <c r="S226" s="493">
        <f>L222/12</f>
        <v>4.8366666666666669</v>
      </c>
      <c r="T226" s="493"/>
      <c r="U226" s="222"/>
      <c r="V226" s="492"/>
      <c r="W226" s="492"/>
      <c r="X226" s="492"/>
      <c r="Y226" s="492"/>
      <c r="Z226" s="492"/>
      <c r="AA226" s="492"/>
      <c r="AB226" s="492"/>
      <c r="AC226" s="492"/>
      <c r="AD226" s="492"/>
      <c r="AE226" s="492"/>
      <c r="AF226" s="492"/>
      <c r="AG226" s="492"/>
      <c r="AH226" s="193"/>
    </row>
    <row r="227" spans="1:34" ht="15.75" thickBot="1" x14ac:dyDescent="0.3">
      <c r="A227" s="195"/>
      <c r="B227" s="200" t="s">
        <v>295</v>
      </c>
      <c r="C227" s="199" t="s">
        <v>264</v>
      </c>
      <c r="D227" s="197">
        <v>60</v>
      </c>
      <c r="E227" s="201">
        <v>8</v>
      </c>
      <c r="F227" s="202"/>
      <c r="G227" s="202">
        <f>18.33*12</f>
        <v>219.95999999999998</v>
      </c>
      <c r="H227" s="202">
        <v>20</v>
      </c>
      <c r="I227" s="202">
        <v>12</v>
      </c>
      <c r="J227" s="202">
        <v>12</v>
      </c>
      <c r="K227" s="199"/>
      <c r="L227" s="199"/>
      <c r="M227" s="199"/>
      <c r="N227" s="199"/>
      <c r="O227" s="199"/>
      <c r="P227" s="199"/>
      <c r="Q227" s="198"/>
      <c r="R227" s="196"/>
      <c r="S227" s="196"/>
      <c r="T227" s="196"/>
      <c r="U227" s="196"/>
      <c r="V227" s="203"/>
      <c r="W227" s="202"/>
      <c r="X227" s="202"/>
      <c r="Y227" s="199"/>
      <c r="Z227" s="199"/>
      <c r="AA227" s="199"/>
      <c r="AB227" s="199"/>
      <c r="AC227" s="199"/>
      <c r="AD227" s="199"/>
      <c r="AE227" s="199"/>
      <c r="AF227" s="199"/>
      <c r="AG227" s="199"/>
      <c r="AH227" s="195"/>
    </row>
    <row r="228" spans="1:34" ht="15.75" thickBot="1" x14ac:dyDescent="0.3">
      <c r="A228" s="193"/>
      <c r="B228" s="204"/>
      <c r="C228" s="205"/>
      <c r="D228" s="194"/>
      <c r="E228" s="206"/>
      <c r="F228" s="205"/>
      <c r="G228" s="205"/>
      <c r="H228" s="207">
        <v>3</v>
      </c>
      <c r="I228" s="207">
        <v>2</v>
      </c>
      <c r="J228" s="205"/>
      <c r="K228" s="205"/>
      <c r="L228" s="205"/>
      <c r="M228" s="205"/>
      <c r="N228" s="205"/>
      <c r="O228" s="205"/>
      <c r="P228" s="205"/>
      <c r="Q228" s="208"/>
      <c r="R228" s="209"/>
      <c r="S228" s="210"/>
      <c r="T228" s="210"/>
      <c r="U228" s="211"/>
      <c r="V228" s="212"/>
      <c r="W228" s="204"/>
      <c r="X228" s="204"/>
      <c r="Y228" s="205"/>
      <c r="Z228" s="205"/>
      <c r="AA228" s="205"/>
      <c r="AB228" s="205"/>
      <c r="AC228" s="205"/>
      <c r="AD228" s="205"/>
      <c r="AE228" s="205"/>
      <c r="AF228" s="205"/>
      <c r="AG228" s="205"/>
      <c r="AH228" s="193"/>
    </row>
    <row r="229" spans="1:34" x14ac:dyDescent="0.25">
      <c r="A229" s="193"/>
      <c r="B229" s="490"/>
      <c r="C229" s="499" t="s">
        <v>265</v>
      </c>
      <c r="D229" s="490">
        <v>5</v>
      </c>
      <c r="E229" s="490">
        <v>0.625</v>
      </c>
      <c r="F229" s="490"/>
      <c r="G229" s="490">
        <f>G227</f>
        <v>219.95999999999998</v>
      </c>
      <c r="H229" s="490"/>
      <c r="I229" s="490">
        <v>2</v>
      </c>
      <c r="J229" s="490">
        <v>1</v>
      </c>
      <c r="K229" s="490"/>
      <c r="L229" s="490">
        <f>G227-2-2</f>
        <v>215.95999999999998</v>
      </c>
      <c r="M229" s="490"/>
      <c r="N229" s="490"/>
      <c r="O229" s="490"/>
      <c r="P229" s="490"/>
      <c r="Q229" s="490"/>
      <c r="R229" s="213"/>
      <c r="S229" s="502"/>
      <c r="T229" s="502"/>
      <c r="U229" s="214"/>
      <c r="V229" s="490">
        <f>SUM(R229:U233)</f>
        <v>17.996666666666666</v>
      </c>
      <c r="W229" s="490">
        <f>+SUM(K229:Q233)</f>
        <v>215.95999999999998</v>
      </c>
      <c r="X229" s="490">
        <f>(+I229*J229*W229)/12</f>
        <v>35.993333333333332</v>
      </c>
      <c r="Y229" s="490">
        <f>IF(Y$4=$D229,$X229*Y$5,0)</f>
        <v>0</v>
      </c>
      <c r="Z229" s="490">
        <f t="shared" ref="Z229:AF229" si="40">IF(Z$4=$D229,$X229*Z$5,0)</f>
        <v>0</v>
      </c>
      <c r="AA229" s="490">
        <f t="shared" si="40"/>
        <v>37.541046666666666</v>
      </c>
      <c r="AB229" s="490">
        <f t="shared" si="40"/>
        <v>0</v>
      </c>
      <c r="AC229" s="490">
        <f t="shared" si="40"/>
        <v>0</v>
      </c>
      <c r="AD229" s="490">
        <f t="shared" si="40"/>
        <v>0</v>
      </c>
      <c r="AE229" s="490">
        <f t="shared" si="40"/>
        <v>0</v>
      </c>
      <c r="AF229" s="490">
        <f t="shared" si="40"/>
        <v>0</v>
      </c>
      <c r="AG229" s="490"/>
      <c r="AH229" s="193"/>
    </row>
    <row r="230" spans="1:34" x14ac:dyDescent="0.25">
      <c r="A230" s="193"/>
      <c r="B230" s="491"/>
      <c r="C230" s="500"/>
      <c r="D230" s="491"/>
      <c r="E230" s="491"/>
      <c r="F230" s="491"/>
      <c r="G230" s="491"/>
      <c r="H230" s="491"/>
      <c r="I230" s="491"/>
      <c r="J230" s="491"/>
      <c r="K230" s="491"/>
      <c r="L230" s="491"/>
      <c r="M230" s="491"/>
      <c r="N230" s="491"/>
      <c r="O230" s="491"/>
      <c r="P230" s="491"/>
      <c r="Q230" s="491"/>
      <c r="R230" s="213"/>
      <c r="S230" s="215"/>
      <c r="T230" s="216"/>
      <c r="U230" s="214"/>
      <c r="V230" s="491"/>
      <c r="W230" s="491"/>
      <c r="X230" s="491"/>
      <c r="Y230" s="491"/>
      <c r="Z230" s="491"/>
      <c r="AA230" s="491"/>
      <c r="AB230" s="491"/>
      <c r="AC230" s="491"/>
      <c r="AD230" s="491"/>
      <c r="AE230" s="491"/>
      <c r="AF230" s="491"/>
      <c r="AG230" s="491"/>
      <c r="AH230" s="193"/>
    </row>
    <row r="231" spans="1:34" x14ac:dyDescent="0.25">
      <c r="A231" s="193"/>
      <c r="B231" s="491"/>
      <c r="C231" s="500"/>
      <c r="D231" s="491"/>
      <c r="E231" s="491"/>
      <c r="F231" s="491"/>
      <c r="G231" s="491"/>
      <c r="H231" s="491"/>
      <c r="I231" s="491"/>
      <c r="J231" s="491"/>
      <c r="K231" s="491"/>
      <c r="L231" s="491"/>
      <c r="M231" s="491"/>
      <c r="N231" s="491"/>
      <c r="O231" s="491"/>
      <c r="P231" s="491"/>
      <c r="Q231" s="491"/>
      <c r="R231" s="217"/>
      <c r="S231" s="218"/>
      <c r="T231" s="218"/>
      <c r="U231" s="219"/>
      <c r="V231" s="491"/>
      <c r="W231" s="491"/>
      <c r="X231" s="491"/>
      <c r="Y231" s="491"/>
      <c r="Z231" s="491"/>
      <c r="AA231" s="491"/>
      <c r="AB231" s="491"/>
      <c r="AC231" s="491"/>
      <c r="AD231" s="491"/>
      <c r="AE231" s="491"/>
      <c r="AF231" s="491"/>
      <c r="AG231" s="491"/>
      <c r="AH231" s="193"/>
    </row>
    <row r="232" spans="1:34" ht="15.75" thickBot="1" x14ac:dyDescent="0.3">
      <c r="A232" s="193"/>
      <c r="B232" s="491"/>
      <c r="C232" s="500"/>
      <c r="D232" s="491"/>
      <c r="E232" s="491"/>
      <c r="F232" s="491"/>
      <c r="G232" s="491"/>
      <c r="H232" s="491"/>
      <c r="I232" s="491"/>
      <c r="J232" s="491"/>
      <c r="K232" s="491"/>
      <c r="L232" s="491"/>
      <c r="M232" s="491"/>
      <c r="N232" s="491"/>
      <c r="O232" s="491"/>
      <c r="P232" s="491"/>
      <c r="Q232" s="491"/>
      <c r="R232" s="213"/>
      <c r="S232" s="220"/>
      <c r="T232" s="220"/>
      <c r="U232" s="214"/>
      <c r="V232" s="491"/>
      <c r="W232" s="491"/>
      <c r="X232" s="491"/>
      <c r="Y232" s="491"/>
      <c r="Z232" s="491"/>
      <c r="AA232" s="491"/>
      <c r="AB232" s="491"/>
      <c r="AC232" s="491"/>
      <c r="AD232" s="491"/>
      <c r="AE232" s="491"/>
      <c r="AF232" s="491"/>
      <c r="AG232" s="491"/>
      <c r="AH232" s="193"/>
    </row>
    <row r="233" spans="1:34" x14ac:dyDescent="0.25">
      <c r="A233" s="193"/>
      <c r="B233" s="492"/>
      <c r="C233" s="501"/>
      <c r="D233" s="492"/>
      <c r="E233" s="492"/>
      <c r="F233" s="492"/>
      <c r="G233" s="492"/>
      <c r="H233" s="492"/>
      <c r="I233" s="492"/>
      <c r="J233" s="492"/>
      <c r="K233" s="492"/>
      <c r="L233" s="492"/>
      <c r="M233" s="492"/>
      <c r="N233" s="492"/>
      <c r="O233" s="492"/>
      <c r="P233" s="492"/>
      <c r="Q233" s="492"/>
      <c r="R233" s="221"/>
      <c r="S233" s="493">
        <f>L229/12</f>
        <v>17.996666666666666</v>
      </c>
      <c r="T233" s="493"/>
      <c r="U233" s="222"/>
      <c r="V233" s="492"/>
      <c r="W233" s="492"/>
      <c r="X233" s="492"/>
      <c r="Y233" s="492"/>
      <c r="Z233" s="492"/>
      <c r="AA233" s="492"/>
      <c r="AB233" s="492"/>
      <c r="AC233" s="492"/>
      <c r="AD233" s="492"/>
      <c r="AE233" s="492"/>
      <c r="AF233" s="492"/>
      <c r="AG233" s="492"/>
      <c r="AH233" s="193"/>
    </row>
    <row r="234" spans="1:34" x14ac:dyDescent="0.25">
      <c r="A234" s="193"/>
      <c r="B234" s="490"/>
      <c r="C234" s="499" t="s">
        <v>271</v>
      </c>
      <c r="D234" s="490">
        <v>5</v>
      </c>
      <c r="E234" s="490">
        <v>0.625</v>
      </c>
      <c r="F234" s="490"/>
      <c r="G234" s="490"/>
      <c r="H234" s="490"/>
      <c r="I234" s="490">
        <v>2</v>
      </c>
      <c r="J234" s="490">
        <v>2</v>
      </c>
      <c r="K234" s="490">
        <v>30</v>
      </c>
      <c r="L234" s="490">
        <v>30</v>
      </c>
      <c r="M234" s="490"/>
      <c r="N234" s="490"/>
      <c r="O234" s="490"/>
      <c r="P234" s="490"/>
      <c r="Q234" s="490"/>
      <c r="R234" s="213"/>
      <c r="S234" s="498"/>
      <c r="T234" s="498"/>
      <c r="U234" s="214"/>
      <c r="V234" s="490">
        <f>SUM(R234:U238)</f>
        <v>5</v>
      </c>
      <c r="W234" s="490">
        <f>+SUM(K234:Q238)</f>
        <v>60</v>
      </c>
      <c r="X234" s="490">
        <f>(+I234*J234*W234)/12</f>
        <v>20</v>
      </c>
      <c r="Y234" s="490">
        <f t="shared" ref="Y234:AF234" si="41">IF(Y$4=$D234,$X234*Y$5,0)</f>
        <v>0</v>
      </c>
      <c r="Z234" s="490">
        <f t="shared" si="41"/>
        <v>0</v>
      </c>
      <c r="AA234" s="490">
        <f t="shared" si="41"/>
        <v>20.86</v>
      </c>
      <c r="AB234" s="490">
        <f t="shared" si="41"/>
        <v>0</v>
      </c>
      <c r="AC234" s="490">
        <f t="shared" si="41"/>
        <v>0</v>
      </c>
      <c r="AD234" s="490">
        <f t="shared" si="41"/>
        <v>0</v>
      </c>
      <c r="AE234" s="490">
        <f t="shared" si="41"/>
        <v>0</v>
      </c>
      <c r="AF234" s="490">
        <f t="shared" si="41"/>
        <v>0</v>
      </c>
      <c r="AG234" s="490"/>
      <c r="AH234" s="193"/>
    </row>
    <row r="235" spans="1:34" x14ac:dyDescent="0.25">
      <c r="A235" s="193"/>
      <c r="B235" s="491"/>
      <c r="C235" s="500"/>
      <c r="D235" s="491"/>
      <c r="E235" s="491"/>
      <c r="F235" s="491"/>
      <c r="G235" s="491"/>
      <c r="H235" s="491"/>
      <c r="I235" s="491"/>
      <c r="J235" s="491"/>
      <c r="K235" s="491"/>
      <c r="L235" s="491"/>
      <c r="M235" s="491"/>
      <c r="N235" s="491"/>
      <c r="O235" s="491"/>
      <c r="P235" s="491"/>
      <c r="Q235" s="491"/>
      <c r="R235" s="213"/>
      <c r="S235" s="215"/>
      <c r="T235" s="216"/>
      <c r="U235" s="214"/>
      <c r="V235" s="491"/>
      <c r="W235" s="491"/>
      <c r="X235" s="491"/>
      <c r="Y235" s="491"/>
      <c r="Z235" s="491"/>
      <c r="AA235" s="491"/>
      <c r="AB235" s="491"/>
      <c r="AC235" s="491"/>
      <c r="AD235" s="491"/>
      <c r="AE235" s="491"/>
      <c r="AF235" s="491"/>
      <c r="AG235" s="491"/>
      <c r="AH235" s="193"/>
    </row>
    <row r="236" spans="1:34" x14ac:dyDescent="0.25">
      <c r="A236" s="193"/>
      <c r="B236" s="491"/>
      <c r="C236" s="500"/>
      <c r="D236" s="491"/>
      <c r="E236" s="491"/>
      <c r="F236" s="491"/>
      <c r="G236" s="491"/>
      <c r="H236" s="491"/>
      <c r="I236" s="491"/>
      <c r="J236" s="491"/>
      <c r="K236" s="491"/>
      <c r="L236" s="491"/>
      <c r="M236" s="491"/>
      <c r="N236" s="491"/>
      <c r="O236" s="491"/>
      <c r="P236" s="491"/>
      <c r="Q236" s="491"/>
      <c r="R236" s="217">
        <f>K234/12</f>
        <v>2.5</v>
      </c>
      <c r="S236" s="223"/>
      <c r="T236" s="195"/>
      <c r="U236" s="219"/>
      <c r="V236" s="491"/>
      <c r="W236" s="491"/>
      <c r="X236" s="491"/>
      <c r="Y236" s="491"/>
      <c r="Z236" s="491"/>
      <c r="AA236" s="491"/>
      <c r="AB236" s="491"/>
      <c r="AC236" s="491"/>
      <c r="AD236" s="491"/>
      <c r="AE236" s="491"/>
      <c r="AF236" s="491"/>
      <c r="AG236" s="491"/>
      <c r="AH236" s="193"/>
    </row>
    <row r="237" spans="1:34" ht="15.75" thickBot="1" x14ac:dyDescent="0.3">
      <c r="A237" s="193"/>
      <c r="B237" s="491"/>
      <c r="C237" s="500"/>
      <c r="D237" s="491"/>
      <c r="E237" s="491"/>
      <c r="F237" s="491"/>
      <c r="G237" s="491"/>
      <c r="H237" s="491"/>
      <c r="I237" s="491"/>
      <c r="J237" s="491"/>
      <c r="K237" s="491"/>
      <c r="L237" s="491"/>
      <c r="M237" s="491"/>
      <c r="N237" s="491"/>
      <c r="O237" s="491"/>
      <c r="P237" s="491"/>
      <c r="Q237" s="491"/>
      <c r="R237" s="213"/>
      <c r="S237" s="224"/>
      <c r="T237" s="220"/>
      <c r="U237" s="214"/>
      <c r="V237" s="491"/>
      <c r="W237" s="491"/>
      <c r="X237" s="491"/>
      <c r="Y237" s="491"/>
      <c r="Z237" s="491"/>
      <c r="AA237" s="491"/>
      <c r="AB237" s="491"/>
      <c r="AC237" s="491"/>
      <c r="AD237" s="491"/>
      <c r="AE237" s="491"/>
      <c r="AF237" s="491"/>
      <c r="AG237" s="491"/>
      <c r="AH237" s="193"/>
    </row>
    <row r="238" spans="1:34" x14ac:dyDescent="0.25">
      <c r="A238" s="193"/>
      <c r="B238" s="492"/>
      <c r="C238" s="501"/>
      <c r="D238" s="492"/>
      <c r="E238" s="492"/>
      <c r="F238" s="492"/>
      <c r="G238" s="492"/>
      <c r="H238" s="492"/>
      <c r="I238" s="492"/>
      <c r="J238" s="492"/>
      <c r="K238" s="492"/>
      <c r="L238" s="492"/>
      <c r="M238" s="492"/>
      <c r="N238" s="492"/>
      <c r="O238" s="492"/>
      <c r="P238" s="492"/>
      <c r="Q238" s="492"/>
      <c r="R238" s="221"/>
      <c r="S238" s="493">
        <f>L234/12</f>
        <v>2.5</v>
      </c>
      <c r="T238" s="493"/>
      <c r="U238" s="222"/>
      <c r="V238" s="492"/>
      <c r="W238" s="492"/>
      <c r="X238" s="492"/>
      <c r="Y238" s="492"/>
      <c r="Z238" s="492"/>
      <c r="AA238" s="492"/>
      <c r="AB238" s="492"/>
      <c r="AC238" s="492"/>
      <c r="AD238" s="492"/>
      <c r="AE238" s="492"/>
      <c r="AF238" s="492"/>
      <c r="AG238" s="492"/>
      <c r="AH238" s="193"/>
    </row>
    <row r="239" spans="1:34" x14ac:dyDescent="0.25">
      <c r="A239" s="193"/>
      <c r="B239" s="490"/>
      <c r="C239" s="490" t="s">
        <v>277</v>
      </c>
      <c r="D239" s="490">
        <v>5</v>
      </c>
      <c r="E239" s="490">
        <v>0.625</v>
      </c>
      <c r="F239" s="494">
        <v>16</v>
      </c>
      <c r="G239" s="229"/>
      <c r="H239" s="490"/>
      <c r="I239" s="490">
        <f>ROUNDUP(G229/F239,0)</f>
        <v>14</v>
      </c>
      <c r="J239" s="490">
        <v>1</v>
      </c>
      <c r="K239" s="490">
        <v>6</v>
      </c>
      <c r="L239" s="490">
        <f>4*12-2</f>
        <v>46</v>
      </c>
      <c r="M239" s="490">
        <f>11*12</f>
        <v>132</v>
      </c>
      <c r="N239" s="490"/>
      <c r="O239" s="490"/>
      <c r="P239" s="490"/>
      <c r="Q239" s="490"/>
      <c r="R239" s="213"/>
      <c r="S239" s="498"/>
      <c r="T239" s="498"/>
      <c r="U239" s="214"/>
      <c r="V239" s="490">
        <f>SUM(R239:U243)</f>
        <v>15.333333333333334</v>
      </c>
      <c r="W239" s="490">
        <f>+SUM(K239:Q243)</f>
        <v>184</v>
      </c>
      <c r="X239" s="490">
        <f>(+I239*J239*W239)/12</f>
        <v>214.66666666666666</v>
      </c>
      <c r="Y239" s="490">
        <f t="shared" ref="Y239:AF239" si="42">IF(Y$4=$D239,$X239*Y$5,0)</f>
        <v>0</v>
      </c>
      <c r="Z239" s="490">
        <f t="shared" si="42"/>
        <v>0</v>
      </c>
      <c r="AA239" s="490">
        <f t="shared" si="42"/>
        <v>223.89733333333331</v>
      </c>
      <c r="AB239" s="490">
        <f t="shared" si="42"/>
        <v>0</v>
      </c>
      <c r="AC239" s="490">
        <f t="shared" si="42"/>
        <v>0</v>
      </c>
      <c r="AD239" s="490">
        <f t="shared" si="42"/>
        <v>0</v>
      </c>
      <c r="AE239" s="490">
        <f t="shared" si="42"/>
        <v>0</v>
      </c>
      <c r="AF239" s="490">
        <f t="shared" si="42"/>
        <v>0</v>
      </c>
      <c r="AG239" s="490"/>
      <c r="AH239" s="193"/>
    </row>
    <row r="240" spans="1:34" x14ac:dyDescent="0.25">
      <c r="A240" s="193"/>
      <c r="B240" s="491"/>
      <c r="C240" s="491"/>
      <c r="D240" s="491"/>
      <c r="E240" s="491"/>
      <c r="F240" s="495"/>
      <c r="G240" s="230"/>
      <c r="H240" s="491"/>
      <c r="I240" s="491"/>
      <c r="J240" s="491"/>
      <c r="K240" s="491"/>
      <c r="L240" s="491"/>
      <c r="M240" s="491"/>
      <c r="N240" s="491"/>
      <c r="O240" s="491"/>
      <c r="P240" s="491"/>
      <c r="Q240" s="491"/>
      <c r="R240" s="213"/>
      <c r="S240" s="215"/>
      <c r="T240" s="216"/>
      <c r="U240" s="214"/>
      <c r="V240" s="491"/>
      <c r="W240" s="491"/>
      <c r="X240" s="491"/>
      <c r="Y240" s="491"/>
      <c r="Z240" s="491"/>
      <c r="AA240" s="491"/>
      <c r="AB240" s="491"/>
      <c r="AC240" s="491"/>
      <c r="AD240" s="491"/>
      <c r="AE240" s="491"/>
      <c r="AF240" s="491"/>
      <c r="AG240" s="491"/>
      <c r="AH240" s="193"/>
    </row>
    <row r="241" spans="1:34" x14ac:dyDescent="0.25">
      <c r="A241" s="193"/>
      <c r="B241" s="491"/>
      <c r="C241" s="491"/>
      <c r="D241" s="491"/>
      <c r="E241" s="491"/>
      <c r="F241" s="495"/>
      <c r="G241" s="230"/>
      <c r="H241" s="491"/>
      <c r="I241" s="491"/>
      <c r="J241" s="491"/>
      <c r="K241" s="491"/>
      <c r="L241" s="491"/>
      <c r="M241" s="491"/>
      <c r="N241" s="491"/>
      <c r="O241" s="491"/>
      <c r="P241" s="491"/>
      <c r="Q241" s="491"/>
      <c r="R241" s="225">
        <f>K239/12</f>
        <v>0.5</v>
      </c>
      <c r="S241" s="218"/>
      <c r="T241" s="218"/>
      <c r="U241" s="219"/>
      <c r="V241" s="491"/>
      <c r="W241" s="491"/>
      <c r="X241" s="491"/>
      <c r="Y241" s="491"/>
      <c r="Z241" s="491"/>
      <c r="AA241" s="491"/>
      <c r="AB241" s="491"/>
      <c r="AC241" s="491"/>
      <c r="AD241" s="491"/>
      <c r="AE241" s="491"/>
      <c r="AF241" s="491"/>
      <c r="AG241" s="491"/>
      <c r="AH241" s="193"/>
    </row>
    <row r="242" spans="1:34" ht="15.75" thickBot="1" x14ac:dyDescent="0.3">
      <c r="A242" s="193"/>
      <c r="B242" s="491"/>
      <c r="C242" s="491"/>
      <c r="D242" s="491"/>
      <c r="E242" s="491"/>
      <c r="F242" s="495"/>
      <c r="G242" s="230"/>
      <c r="H242" s="491"/>
      <c r="I242" s="491"/>
      <c r="J242" s="491"/>
      <c r="K242" s="491"/>
      <c r="L242" s="491"/>
      <c r="M242" s="491"/>
      <c r="N242" s="491"/>
      <c r="O242" s="491"/>
      <c r="P242" s="491"/>
      <c r="Q242" s="491"/>
      <c r="R242" s="226"/>
      <c r="S242" s="220"/>
      <c r="T242" s="220"/>
      <c r="U242" s="214"/>
      <c r="V242" s="491"/>
      <c r="W242" s="491"/>
      <c r="X242" s="491"/>
      <c r="Y242" s="491"/>
      <c r="Z242" s="491"/>
      <c r="AA242" s="491"/>
      <c r="AB242" s="491"/>
      <c r="AC242" s="491"/>
      <c r="AD242" s="491"/>
      <c r="AE242" s="491"/>
      <c r="AF242" s="491"/>
      <c r="AG242" s="491"/>
      <c r="AH242" s="193"/>
    </row>
    <row r="243" spans="1:34" x14ac:dyDescent="0.25">
      <c r="A243" s="193"/>
      <c r="B243" s="492"/>
      <c r="C243" s="492"/>
      <c r="D243" s="491"/>
      <c r="E243" s="491"/>
      <c r="F243" s="496"/>
      <c r="G243" s="231"/>
      <c r="H243" s="492"/>
      <c r="I243" s="492"/>
      <c r="J243" s="492"/>
      <c r="K243" s="492"/>
      <c r="L243" s="492"/>
      <c r="M243" s="492"/>
      <c r="N243" s="492"/>
      <c r="O243" s="492"/>
      <c r="P243" s="492"/>
      <c r="Q243" s="492"/>
      <c r="R243" s="221"/>
      <c r="S243" s="493">
        <f>+SUM(L239:M243)/12</f>
        <v>14.833333333333334</v>
      </c>
      <c r="T243" s="493"/>
      <c r="U243" s="222"/>
      <c r="V243" s="492"/>
      <c r="W243" s="492"/>
      <c r="X243" s="492"/>
      <c r="Y243" s="492"/>
      <c r="Z243" s="492"/>
      <c r="AA243" s="492"/>
      <c r="AB243" s="492"/>
      <c r="AC243" s="492"/>
      <c r="AD243" s="492"/>
      <c r="AE243" s="492"/>
      <c r="AF243" s="492"/>
      <c r="AG243" s="492"/>
      <c r="AH243" s="193"/>
    </row>
    <row r="244" spans="1:34" x14ac:dyDescent="0.25">
      <c r="A244" s="193"/>
      <c r="B244" s="490"/>
      <c r="C244" s="490" t="s">
        <v>286</v>
      </c>
      <c r="D244" s="490">
        <v>5</v>
      </c>
      <c r="E244" s="490">
        <v>0.625</v>
      </c>
      <c r="F244" s="494">
        <v>16</v>
      </c>
      <c r="G244" s="229"/>
      <c r="H244" s="490"/>
      <c r="I244" s="490">
        <f>ROUNDUP(M239/F244,0)</f>
        <v>9</v>
      </c>
      <c r="J244" s="490">
        <v>1</v>
      </c>
      <c r="K244" s="490"/>
      <c r="L244" s="490">
        <f>G227-2-2</f>
        <v>215.95999999999998</v>
      </c>
      <c r="M244" s="490"/>
      <c r="N244" s="490"/>
      <c r="O244" s="490"/>
      <c r="P244" s="490"/>
      <c r="Q244" s="490"/>
      <c r="R244" s="213"/>
      <c r="S244" s="498"/>
      <c r="T244" s="498"/>
      <c r="U244" s="214"/>
      <c r="V244" s="490">
        <f>SUM(R244:U248)</f>
        <v>17.996666666666666</v>
      </c>
      <c r="W244" s="490">
        <f>+SUM(K244:Q248)</f>
        <v>215.95999999999998</v>
      </c>
      <c r="X244" s="490">
        <f>(+I244*J244*W244)/12</f>
        <v>161.97</v>
      </c>
      <c r="Y244" s="490">
        <f t="shared" ref="Y244:AF244" si="43">IF(Y$4=$D244,$X244*Y$5,0)</f>
        <v>0</v>
      </c>
      <c r="Z244" s="490">
        <f t="shared" si="43"/>
        <v>0</v>
      </c>
      <c r="AA244" s="490">
        <f t="shared" si="43"/>
        <v>168.93471</v>
      </c>
      <c r="AB244" s="490">
        <f t="shared" si="43"/>
        <v>0</v>
      </c>
      <c r="AC244" s="490">
        <f t="shared" si="43"/>
        <v>0</v>
      </c>
      <c r="AD244" s="490">
        <f t="shared" si="43"/>
        <v>0</v>
      </c>
      <c r="AE244" s="490">
        <f t="shared" si="43"/>
        <v>0</v>
      </c>
      <c r="AF244" s="490">
        <f t="shared" si="43"/>
        <v>0</v>
      </c>
      <c r="AG244" s="490"/>
      <c r="AH244" s="193"/>
    </row>
    <row r="245" spans="1:34" x14ac:dyDescent="0.25">
      <c r="A245" s="193"/>
      <c r="B245" s="491"/>
      <c r="C245" s="491"/>
      <c r="D245" s="491"/>
      <c r="E245" s="491"/>
      <c r="F245" s="495"/>
      <c r="G245" s="230"/>
      <c r="H245" s="491"/>
      <c r="I245" s="491"/>
      <c r="J245" s="491"/>
      <c r="K245" s="491"/>
      <c r="L245" s="491"/>
      <c r="M245" s="491"/>
      <c r="N245" s="491"/>
      <c r="O245" s="491"/>
      <c r="P245" s="491"/>
      <c r="Q245" s="491"/>
      <c r="R245" s="213"/>
      <c r="S245" s="215"/>
      <c r="T245" s="216"/>
      <c r="U245" s="214"/>
      <c r="V245" s="491"/>
      <c r="W245" s="491"/>
      <c r="X245" s="491"/>
      <c r="Y245" s="491"/>
      <c r="Z245" s="491"/>
      <c r="AA245" s="491"/>
      <c r="AB245" s="491"/>
      <c r="AC245" s="491"/>
      <c r="AD245" s="491"/>
      <c r="AE245" s="491"/>
      <c r="AF245" s="491"/>
      <c r="AG245" s="491"/>
      <c r="AH245" s="193"/>
    </row>
    <row r="246" spans="1:34" x14ac:dyDescent="0.25">
      <c r="A246" s="193"/>
      <c r="B246" s="491"/>
      <c r="C246" s="491"/>
      <c r="D246" s="491"/>
      <c r="E246" s="491"/>
      <c r="F246" s="495"/>
      <c r="G246" s="230"/>
      <c r="H246" s="491"/>
      <c r="I246" s="491"/>
      <c r="J246" s="491"/>
      <c r="K246" s="491"/>
      <c r="L246" s="491"/>
      <c r="M246" s="491"/>
      <c r="N246" s="491"/>
      <c r="O246" s="491"/>
      <c r="P246" s="491"/>
      <c r="Q246" s="497"/>
      <c r="R246" s="217"/>
      <c r="S246" s="218"/>
      <c r="T246" s="218"/>
      <c r="U246" s="219"/>
      <c r="V246" s="491"/>
      <c r="W246" s="491"/>
      <c r="X246" s="491"/>
      <c r="Y246" s="491"/>
      <c r="Z246" s="491"/>
      <c r="AA246" s="491"/>
      <c r="AB246" s="491"/>
      <c r="AC246" s="491"/>
      <c r="AD246" s="491"/>
      <c r="AE246" s="491"/>
      <c r="AF246" s="491"/>
      <c r="AG246" s="491"/>
      <c r="AH246" s="193"/>
    </row>
    <row r="247" spans="1:34" ht="15.75" thickBot="1" x14ac:dyDescent="0.3">
      <c r="A247" s="193"/>
      <c r="B247" s="491"/>
      <c r="C247" s="491"/>
      <c r="D247" s="491"/>
      <c r="E247" s="491"/>
      <c r="F247" s="495"/>
      <c r="G247" s="230"/>
      <c r="H247" s="491"/>
      <c r="I247" s="491"/>
      <c r="J247" s="491"/>
      <c r="K247" s="491"/>
      <c r="L247" s="491"/>
      <c r="M247" s="491"/>
      <c r="N247" s="491"/>
      <c r="O247" s="491"/>
      <c r="P247" s="491"/>
      <c r="Q247" s="497"/>
      <c r="R247" s="213"/>
      <c r="S247" s="220"/>
      <c r="T247" s="220"/>
      <c r="U247" s="214"/>
      <c r="V247" s="491"/>
      <c r="W247" s="491"/>
      <c r="X247" s="491"/>
      <c r="Y247" s="491"/>
      <c r="Z247" s="491"/>
      <c r="AA247" s="491"/>
      <c r="AB247" s="491"/>
      <c r="AC247" s="491"/>
      <c r="AD247" s="491"/>
      <c r="AE247" s="491"/>
      <c r="AF247" s="491"/>
      <c r="AG247" s="491"/>
      <c r="AH247" s="193"/>
    </row>
    <row r="248" spans="1:34" x14ac:dyDescent="0.25">
      <c r="A248" s="193"/>
      <c r="B248" s="492"/>
      <c r="C248" s="492"/>
      <c r="D248" s="491"/>
      <c r="E248" s="491"/>
      <c r="F248" s="496"/>
      <c r="G248" s="231"/>
      <c r="H248" s="492"/>
      <c r="I248" s="492"/>
      <c r="J248" s="492"/>
      <c r="K248" s="492"/>
      <c r="L248" s="492"/>
      <c r="M248" s="492"/>
      <c r="N248" s="492"/>
      <c r="O248" s="492"/>
      <c r="P248" s="492"/>
      <c r="Q248" s="492"/>
      <c r="R248" s="221"/>
      <c r="S248" s="493">
        <f>L244/12</f>
        <v>17.996666666666666</v>
      </c>
      <c r="T248" s="493"/>
      <c r="U248" s="222"/>
      <c r="V248" s="492"/>
      <c r="W248" s="492"/>
      <c r="X248" s="492"/>
      <c r="Y248" s="492"/>
      <c r="Z248" s="492"/>
      <c r="AA248" s="492"/>
      <c r="AB248" s="492"/>
      <c r="AC248" s="492"/>
      <c r="AD248" s="492"/>
      <c r="AE248" s="492"/>
      <c r="AF248" s="492"/>
      <c r="AG248" s="492"/>
      <c r="AH248" s="193"/>
    </row>
    <row r="249" spans="1:34" ht="15.75" thickBot="1" x14ac:dyDescent="0.3">
      <c r="A249" s="195"/>
      <c r="B249" s="200" t="s">
        <v>296</v>
      </c>
      <c r="C249" s="199" t="s">
        <v>264</v>
      </c>
      <c r="D249" s="197">
        <v>60</v>
      </c>
      <c r="E249" s="201">
        <v>8</v>
      </c>
      <c r="F249" s="202"/>
      <c r="G249" s="202">
        <f>5.17*12</f>
        <v>62.04</v>
      </c>
      <c r="H249" s="202">
        <v>20</v>
      </c>
      <c r="I249" s="202">
        <v>12</v>
      </c>
      <c r="J249" s="202">
        <v>12</v>
      </c>
      <c r="K249" s="199"/>
      <c r="L249" s="199"/>
      <c r="M249" s="199"/>
      <c r="N249" s="199"/>
      <c r="O249" s="199"/>
      <c r="P249" s="199"/>
      <c r="Q249" s="198"/>
      <c r="R249" s="196"/>
      <c r="S249" s="196"/>
      <c r="T249" s="196"/>
      <c r="U249" s="196"/>
      <c r="V249" s="203"/>
      <c r="W249" s="202"/>
      <c r="X249" s="202"/>
      <c r="Y249" s="199"/>
      <c r="Z249" s="199"/>
      <c r="AA249" s="199"/>
      <c r="AB249" s="199"/>
      <c r="AC249" s="199"/>
      <c r="AD249" s="199"/>
      <c r="AE249" s="199"/>
      <c r="AF249" s="199"/>
      <c r="AG249" s="199"/>
      <c r="AH249" s="195"/>
    </row>
    <row r="250" spans="1:34" ht="15.75" thickBot="1" x14ac:dyDescent="0.3">
      <c r="A250" s="193"/>
      <c r="B250" s="204"/>
      <c r="C250" s="205"/>
      <c r="D250" s="194"/>
      <c r="E250" s="206"/>
      <c r="F250" s="205"/>
      <c r="G250" s="205"/>
      <c r="H250" s="207">
        <v>3</v>
      </c>
      <c r="I250" s="207">
        <v>2</v>
      </c>
      <c r="J250" s="205"/>
      <c r="K250" s="205"/>
      <c r="L250" s="205"/>
      <c r="M250" s="205"/>
      <c r="N250" s="205"/>
      <c r="O250" s="205"/>
      <c r="P250" s="205"/>
      <c r="Q250" s="208"/>
      <c r="R250" s="209"/>
      <c r="S250" s="210"/>
      <c r="T250" s="210"/>
      <c r="U250" s="211"/>
      <c r="V250" s="212"/>
      <c r="W250" s="204"/>
      <c r="X250" s="204"/>
      <c r="Y250" s="205"/>
      <c r="Z250" s="205"/>
      <c r="AA250" s="205"/>
      <c r="AB250" s="205"/>
      <c r="AC250" s="205"/>
      <c r="AD250" s="205"/>
      <c r="AE250" s="205"/>
      <c r="AF250" s="205"/>
      <c r="AG250" s="205"/>
      <c r="AH250" s="193"/>
    </row>
    <row r="251" spans="1:34" x14ac:dyDescent="0.25">
      <c r="A251" s="193"/>
      <c r="B251" s="490"/>
      <c r="C251" s="499" t="s">
        <v>265</v>
      </c>
      <c r="D251" s="490">
        <v>5</v>
      </c>
      <c r="E251" s="490">
        <v>0.625</v>
      </c>
      <c r="F251" s="490"/>
      <c r="G251" s="490">
        <f>G249</f>
        <v>62.04</v>
      </c>
      <c r="H251" s="490"/>
      <c r="I251" s="490">
        <v>2</v>
      </c>
      <c r="J251" s="490">
        <v>1</v>
      </c>
      <c r="K251" s="490"/>
      <c r="L251" s="490">
        <f>G249-2-2</f>
        <v>58.04</v>
      </c>
      <c r="M251" s="490"/>
      <c r="N251" s="490"/>
      <c r="O251" s="490"/>
      <c r="P251" s="490"/>
      <c r="Q251" s="490"/>
      <c r="R251" s="213"/>
      <c r="S251" s="502"/>
      <c r="T251" s="502"/>
      <c r="U251" s="214"/>
      <c r="V251" s="490">
        <f>SUM(R251:U255)</f>
        <v>4.8366666666666669</v>
      </c>
      <c r="W251" s="490">
        <f>+SUM(K251:Q255)</f>
        <v>58.04</v>
      </c>
      <c r="X251" s="490">
        <f>(+I251*J251*W251)/12</f>
        <v>9.6733333333333338</v>
      </c>
      <c r="Y251" s="490">
        <f>IF(Y$4=$D251,$X251*Y$5,0)</f>
        <v>0</v>
      </c>
      <c r="Z251" s="490">
        <f t="shared" ref="Z251:AF251" si="44">IF(Z$4=$D251,$X251*Z$5,0)</f>
        <v>0</v>
      </c>
      <c r="AA251" s="490">
        <f t="shared" si="44"/>
        <v>10.089286666666666</v>
      </c>
      <c r="AB251" s="490">
        <f t="shared" si="44"/>
        <v>0</v>
      </c>
      <c r="AC251" s="490">
        <f t="shared" si="44"/>
        <v>0</v>
      </c>
      <c r="AD251" s="490">
        <f t="shared" si="44"/>
        <v>0</v>
      </c>
      <c r="AE251" s="490">
        <f t="shared" si="44"/>
        <v>0</v>
      </c>
      <c r="AF251" s="490">
        <f t="shared" si="44"/>
        <v>0</v>
      </c>
      <c r="AG251" s="490"/>
      <c r="AH251" s="193"/>
    </row>
    <row r="252" spans="1:34" x14ac:dyDescent="0.25">
      <c r="A252" s="193"/>
      <c r="B252" s="491"/>
      <c r="C252" s="500"/>
      <c r="D252" s="491"/>
      <c r="E252" s="491"/>
      <c r="F252" s="491"/>
      <c r="G252" s="491"/>
      <c r="H252" s="491"/>
      <c r="I252" s="491"/>
      <c r="J252" s="491"/>
      <c r="K252" s="491"/>
      <c r="L252" s="491"/>
      <c r="M252" s="491"/>
      <c r="N252" s="491"/>
      <c r="O252" s="491"/>
      <c r="P252" s="491"/>
      <c r="Q252" s="491"/>
      <c r="R252" s="213"/>
      <c r="S252" s="215"/>
      <c r="T252" s="216"/>
      <c r="U252" s="214"/>
      <c r="V252" s="491"/>
      <c r="W252" s="491"/>
      <c r="X252" s="491"/>
      <c r="Y252" s="491"/>
      <c r="Z252" s="491"/>
      <c r="AA252" s="491"/>
      <c r="AB252" s="491"/>
      <c r="AC252" s="491"/>
      <c r="AD252" s="491"/>
      <c r="AE252" s="491"/>
      <c r="AF252" s="491"/>
      <c r="AG252" s="491"/>
      <c r="AH252" s="193"/>
    </row>
    <row r="253" spans="1:34" x14ac:dyDescent="0.25">
      <c r="A253" s="193"/>
      <c r="B253" s="491"/>
      <c r="C253" s="500"/>
      <c r="D253" s="491"/>
      <c r="E253" s="491"/>
      <c r="F253" s="491"/>
      <c r="G253" s="491"/>
      <c r="H253" s="491"/>
      <c r="I253" s="491"/>
      <c r="J253" s="491"/>
      <c r="K253" s="491"/>
      <c r="L253" s="491"/>
      <c r="M253" s="491"/>
      <c r="N253" s="491"/>
      <c r="O253" s="491"/>
      <c r="P253" s="491"/>
      <c r="Q253" s="491"/>
      <c r="R253" s="217"/>
      <c r="S253" s="218"/>
      <c r="T253" s="218"/>
      <c r="U253" s="219"/>
      <c r="V253" s="491"/>
      <c r="W253" s="491"/>
      <c r="X253" s="491"/>
      <c r="Y253" s="491"/>
      <c r="Z253" s="491"/>
      <c r="AA253" s="491"/>
      <c r="AB253" s="491"/>
      <c r="AC253" s="491"/>
      <c r="AD253" s="491"/>
      <c r="AE253" s="491"/>
      <c r="AF253" s="491"/>
      <c r="AG253" s="491"/>
      <c r="AH253" s="193"/>
    </row>
    <row r="254" spans="1:34" ht="15.75" thickBot="1" x14ac:dyDescent="0.3">
      <c r="A254" s="193"/>
      <c r="B254" s="491"/>
      <c r="C254" s="500"/>
      <c r="D254" s="491"/>
      <c r="E254" s="491"/>
      <c r="F254" s="491"/>
      <c r="G254" s="491"/>
      <c r="H254" s="491"/>
      <c r="I254" s="491"/>
      <c r="J254" s="491"/>
      <c r="K254" s="491"/>
      <c r="L254" s="491"/>
      <c r="M254" s="491"/>
      <c r="N254" s="491"/>
      <c r="O254" s="491"/>
      <c r="P254" s="491"/>
      <c r="Q254" s="491"/>
      <c r="R254" s="213"/>
      <c r="S254" s="220"/>
      <c r="T254" s="220"/>
      <c r="U254" s="214"/>
      <c r="V254" s="491"/>
      <c r="W254" s="491"/>
      <c r="X254" s="491"/>
      <c r="Y254" s="491"/>
      <c r="Z254" s="491"/>
      <c r="AA254" s="491"/>
      <c r="AB254" s="491"/>
      <c r="AC254" s="491"/>
      <c r="AD254" s="491"/>
      <c r="AE254" s="491"/>
      <c r="AF254" s="491"/>
      <c r="AG254" s="491"/>
      <c r="AH254" s="193"/>
    </row>
    <row r="255" spans="1:34" x14ac:dyDescent="0.25">
      <c r="A255" s="193"/>
      <c r="B255" s="492"/>
      <c r="C255" s="501"/>
      <c r="D255" s="492"/>
      <c r="E255" s="492"/>
      <c r="F255" s="492"/>
      <c r="G255" s="492"/>
      <c r="H255" s="492"/>
      <c r="I255" s="492"/>
      <c r="J255" s="492"/>
      <c r="K255" s="492"/>
      <c r="L255" s="492"/>
      <c r="M255" s="492"/>
      <c r="N255" s="492"/>
      <c r="O255" s="492"/>
      <c r="P255" s="492"/>
      <c r="Q255" s="492"/>
      <c r="R255" s="221"/>
      <c r="S255" s="493">
        <f>L251/12</f>
        <v>4.8366666666666669</v>
      </c>
      <c r="T255" s="493"/>
      <c r="U255" s="222"/>
      <c r="V255" s="492"/>
      <c r="W255" s="492"/>
      <c r="X255" s="492"/>
      <c r="Y255" s="492"/>
      <c r="Z255" s="492"/>
      <c r="AA255" s="492"/>
      <c r="AB255" s="492"/>
      <c r="AC255" s="492"/>
      <c r="AD255" s="492"/>
      <c r="AE255" s="492"/>
      <c r="AF255" s="492"/>
      <c r="AG255" s="492"/>
      <c r="AH255" s="193"/>
    </row>
    <row r="256" spans="1:34" x14ac:dyDescent="0.25">
      <c r="A256" s="193"/>
      <c r="B256" s="490"/>
      <c r="C256" s="499" t="s">
        <v>271</v>
      </c>
      <c r="D256" s="490">
        <v>5</v>
      </c>
      <c r="E256" s="490">
        <v>0.625</v>
      </c>
      <c r="F256" s="490"/>
      <c r="G256" s="490"/>
      <c r="H256" s="490"/>
      <c r="I256" s="490">
        <v>2</v>
      </c>
      <c r="J256" s="490">
        <v>2</v>
      </c>
      <c r="K256" s="490">
        <v>30</v>
      </c>
      <c r="L256" s="490">
        <v>30</v>
      </c>
      <c r="M256" s="490"/>
      <c r="N256" s="490"/>
      <c r="O256" s="490"/>
      <c r="P256" s="490"/>
      <c r="Q256" s="490"/>
      <c r="R256" s="213"/>
      <c r="S256" s="498"/>
      <c r="T256" s="498"/>
      <c r="U256" s="214"/>
      <c r="V256" s="490">
        <f>SUM(R256:U260)</f>
        <v>5</v>
      </c>
      <c r="W256" s="490">
        <f>+SUM(K256:Q260)</f>
        <v>60</v>
      </c>
      <c r="X256" s="490">
        <f>(+I256*J256*W256)/12</f>
        <v>20</v>
      </c>
      <c r="Y256" s="490">
        <f t="shared" ref="Y256:AF256" si="45">IF(Y$4=$D256,$X256*Y$5,0)</f>
        <v>0</v>
      </c>
      <c r="Z256" s="490">
        <f t="shared" si="45"/>
        <v>0</v>
      </c>
      <c r="AA256" s="490">
        <f t="shared" si="45"/>
        <v>20.86</v>
      </c>
      <c r="AB256" s="490">
        <f t="shared" si="45"/>
        <v>0</v>
      </c>
      <c r="AC256" s="490">
        <f t="shared" si="45"/>
        <v>0</v>
      </c>
      <c r="AD256" s="490">
        <f t="shared" si="45"/>
        <v>0</v>
      </c>
      <c r="AE256" s="490">
        <f t="shared" si="45"/>
        <v>0</v>
      </c>
      <c r="AF256" s="490">
        <f t="shared" si="45"/>
        <v>0</v>
      </c>
      <c r="AG256" s="490"/>
      <c r="AH256" s="193"/>
    </row>
    <row r="257" spans="1:34" x14ac:dyDescent="0.25">
      <c r="A257" s="193"/>
      <c r="B257" s="491"/>
      <c r="C257" s="500"/>
      <c r="D257" s="491"/>
      <c r="E257" s="491"/>
      <c r="F257" s="491"/>
      <c r="G257" s="491"/>
      <c r="H257" s="491"/>
      <c r="I257" s="491"/>
      <c r="J257" s="491"/>
      <c r="K257" s="491"/>
      <c r="L257" s="491"/>
      <c r="M257" s="491"/>
      <c r="N257" s="491"/>
      <c r="O257" s="491"/>
      <c r="P257" s="491"/>
      <c r="Q257" s="491"/>
      <c r="R257" s="213"/>
      <c r="S257" s="215"/>
      <c r="T257" s="216"/>
      <c r="U257" s="214"/>
      <c r="V257" s="491"/>
      <c r="W257" s="491"/>
      <c r="X257" s="491"/>
      <c r="Y257" s="491"/>
      <c r="Z257" s="491"/>
      <c r="AA257" s="491"/>
      <c r="AB257" s="491"/>
      <c r="AC257" s="491"/>
      <c r="AD257" s="491"/>
      <c r="AE257" s="491"/>
      <c r="AF257" s="491"/>
      <c r="AG257" s="491"/>
      <c r="AH257" s="193"/>
    </row>
    <row r="258" spans="1:34" x14ac:dyDescent="0.25">
      <c r="A258" s="193"/>
      <c r="B258" s="491"/>
      <c r="C258" s="500"/>
      <c r="D258" s="491"/>
      <c r="E258" s="491"/>
      <c r="F258" s="491"/>
      <c r="G258" s="491"/>
      <c r="H258" s="491"/>
      <c r="I258" s="491"/>
      <c r="J258" s="491"/>
      <c r="K258" s="491"/>
      <c r="L258" s="491"/>
      <c r="M258" s="491"/>
      <c r="N258" s="491"/>
      <c r="O258" s="491"/>
      <c r="P258" s="491"/>
      <c r="Q258" s="491"/>
      <c r="R258" s="217">
        <f>K256/12</f>
        <v>2.5</v>
      </c>
      <c r="S258" s="223"/>
      <c r="T258" s="195"/>
      <c r="U258" s="219"/>
      <c r="V258" s="491"/>
      <c r="W258" s="491"/>
      <c r="X258" s="491"/>
      <c r="Y258" s="491"/>
      <c r="Z258" s="491"/>
      <c r="AA258" s="491"/>
      <c r="AB258" s="491"/>
      <c r="AC258" s="491"/>
      <c r="AD258" s="491"/>
      <c r="AE258" s="491"/>
      <c r="AF258" s="491"/>
      <c r="AG258" s="491"/>
      <c r="AH258" s="193"/>
    </row>
    <row r="259" spans="1:34" ht="15.75" thickBot="1" x14ac:dyDescent="0.3">
      <c r="A259" s="193"/>
      <c r="B259" s="491"/>
      <c r="C259" s="500"/>
      <c r="D259" s="491"/>
      <c r="E259" s="491"/>
      <c r="F259" s="491"/>
      <c r="G259" s="491"/>
      <c r="H259" s="491"/>
      <c r="I259" s="491"/>
      <c r="J259" s="491"/>
      <c r="K259" s="491"/>
      <c r="L259" s="491"/>
      <c r="M259" s="491"/>
      <c r="N259" s="491"/>
      <c r="O259" s="491"/>
      <c r="P259" s="491"/>
      <c r="Q259" s="491"/>
      <c r="R259" s="213"/>
      <c r="S259" s="224"/>
      <c r="T259" s="220"/>
      <c r="U259" s="214"/>
      <c r="V259" s="491"/>
      <c r="W259" s="491"/>
      <c r="X259" s="491"/>
      <c r="Y259" s="491"/>
      <c r="Z259" s="491"/>
      <c r="AA259" s="491"/>
      <c r="AB259" s="491"/>
      <c r="AC259" s="491"/>
      <c r="AD259" s="491"/>
      <c r="AE259" s="491"/>
      <c r="AF259" s="491"/>
      <c r="AG259" s="491"/>
      <c r="AH259" s="193"/>
    </row>
    <row r="260" spans="1:34" x14ac:dyDescent="0.25">
      <c r="A260" s="193"/>
      <c r="B260" s="492"/>
      <c r="C260" s="501"/>
      <c r="D260" s="492"/>
      <c r="E260" s="492"/>
      <c r="F260" s="492"/>
      <c r="G260" s="492"/>
      <c r="H260" s="492"/>
      <c r="I260" s="492"/>
      <c r="J260" s="492"/>
      <c r="K260" s="492"/>
      <c r="L260" s="492"/>
      <c r="M260" s="492"/>
      <c r="N260" s="492"/>
      <c r="O260" s="492"/>
      <c r="P260" s="492"/>
      <c r="Q260" s="492"/>
      <c r="R260" s="221"/>
      <c r="S260" s="493">
        <f>L256/12</f>
        <v>2.5</v>
      </c>
      <c r="T260" s="493"/>
      <c r="U260" s="222"/>
      <c r="V260" s="492"/>
      <c r="W260" s="492"/>
      <c r="X260" s="492"/>
      <c r="Y260" s="492"/>
      <c r="Z260" s="492"/>
      <c r="AA260" s="492"/>
      <c r="AB260" s="492"/>
      <c r="AC260" s="492"/>
      <c r="AD260" s="492"/>
      <c r="AE260" s="492"/>
      <c r="AF260" s="492"/>
      <c r="AG260" s="492"/>
      <c r="AH260" s="193"/>
    </row>
    <row r="261" spans="1:34" x14ac:dyDescent="0.25">
      <c r="A261" s="193"/>
      <c r="B261" s="490"/>
      <c r="C261" s="490" t="s">
        <v>277</v>
      </c>
      <c r="D261" s="490">
        <v>5</v>
      </c>
      <c r="E261" s="490">
        <v>0.625</v>
      </c>
      <c r="F261" s="494">
        <v>16</v>
      </c>
      <c r="G261" s="229"/>
      <c r="H261" s="490"/>
      <c r="I261" s="490">
        <f>ROUNDUP(G251/F261,0)</f>
        <v>4</v>
      </c>
      <c r="J261" s="490">
        <v>1</v>
      </c>
      <c r="K261" s="490">
        <v>6</v>
      </c>
      <c r="L261" s="490">
        <f>4*12-2</f>
        <v>46</v>
      </c>
      <c r="M261" s="490">
        <f>11*12</f>
        <v>132</v>
      </c>
      <c r="N261" s="490"/>
      <c r="O261" s="490"/>
      <c r="P261" s="490"/>
      <c r="Q261" s="490"/>
      <c r="R261" s="213"/>
      <c r="S261" s="498"/>
      <c r="T261" s="498"/>
      <c r="U261" s="214"/>
      <c r="V261" s="490">
        <f>SUM(R261:U265)</f>
        <v>15.333333333333334</v>
      </c>
      <c r="W261" s="490">
        <f>+SUM(K261:Q265)</f>
        <v>184</v>
      </c>
      <c r="X261" s="490">
        <f>(+I261*J261*W261)/12</f>
        <v>61.333333333333336</v>
      </c>
      <c r="Y261" s="490">
        <f t="shared" ref="Y261:AF261" si="46">IF(Y$4=$D261,$X261*Y$5,0)</f>
        <v>0</v>
      </c>
      <c r="Z261" s="490">
        <f t="shared" si="46"/>
        <v>0</v>
      </c>
      <c r="AA261" s="490">
        <f t="shared" si="46"/>
        <v>63.970666666666666</v>
      </c>
      <c r="AB261" s="490">
        <f t="shared" si="46"/>
        <v>0</v>
      </c>
      <c r="AC261" s="490">
        <f t="shared" si="46"/>
        <v>0</v>
      </c>
      <c r="AD261" s="490">
        <f t="shared" si="46"/>
        <v>0</v>
      </c>
      <c r="AE261" s="490">
        <f t="shared" si="46"/>
        <v>0</v>
      </c>
      <c r="AF261" s="490">
        <f t="shared" si="46"/>
        <v>0</v>
      </c>
      <c r="AG261" s="490"/>
      <c r="AH261" s="193"/>
    </row>
    <row r="262" spans="1:34" x14ac:dyDescent="0.25">
      <c r="A262" s="193"/>
      <c r="B262" s="491"/>
      <c r="C262" s="491"/>
      <c r="D262" s="491"/>
      <c r="E262" s="491"/>
      <c r="F262" s="495"/>
      <c r="G262" s="230"/>
      <c r="H262" s="491"/>
      <c r="I262" s="491"/>
      <c r="J262" s="491"/>
      <c r="K262" s="491"/>
      <c r="L262" s="491"/>
      <c r="M262" s="491"/>
      <c r="N262" s="491"/>
      <c r="O262" s="491"/>
      <c r="P262" s="491"/>
      <c r="Q262" s="491"/>
      <c r="R262" s="213"/>
      <c r="S262" s="215"/>
      <c r="T262" s="216"/>
      <c r="U262" s="214"/>
      <c r="V262" s="491"/>
      <c r="W262" s="491"/>
      <c r="X262" s="491"/>
      <c r="Y262" s="491"/>
      <c r="Z262" s="491"/>
      <c r="AA262" s="491"/>
      <c r="AB262" s="491"/>
      <c r="AC262" s="491"/>
      <c r="AD262" s="491"/>
      <c r="AE262" s="491"/>
      <c r="AF262" s="491"/>
      <c r="AG262" s="491"/>
      <c r="AH262" s="193"/>
    </row>
    <row r="263" spans="1:34" x14ac:dyDescent="0.25">
      <c r="A263" s="193"/>
      <c r="B263" s="491"/>
      <c r="C263" s="491"/>
      <c r="D263" s="491"/>
      <c r="E263" s="491"/>
      <c r="F263" s="495"/>
      <c r="G263" s="230"/>
      <c r="H263" s="491"/>
      <c r="I263" s="491"/>
      <c r="J263" s="491"/>
      <c r="K263" s="491"/>
      <c r="L263" s="491"/>
      <c r="M263" s="491"/>
      <c r="N263" s="491"/>
      <c r="O263" s="491"/>
      <c r="P263" s="491"/>
      <c r="Q263" s="491"/>
      <c r="R263" s="225">
        <f>K261/12</f>
        <v>0.5</v>
      </c>
      <c r="S263" s="218"/>
      <c r="T263" s="218"/>
      <c r="U263" s="219"/>
      <c r="V263" s="491"/>
      <c r="W263" s="491"/>
      <c r="X263" s="491"/>
      <c r="Y263" s="491"/>
      <c r="Z263" s="491"/>
      <c r="AA263" s="491"/>
      <c r="AB263" s="491"/>
      <c r="AC263" s="491"/>
      <c r="AD263" s="491"/>
      <c r="AE263" s="491"/>
      <c r="AF263" s="491"/>
      <c r="AG263" s="491"/>
      <c r="AH263" s="193"/>
    </row>
    <row r="264" spans="1:34" ht="15.75" thickBot="1" x14ac:dyDescent="0.3">
      <c r="A264" s="193"/>
      <c r="B264" s="491"/>
      <c r="C264" s="491"/>
      <c r="D264" s="491"/>
      <c r="E264" s="491"/>
      <c r="F264" s="495"/>
      <c r="G264" s="230"/>
      <c r="H264" s="491"/>
      <c r="I264" s="491"/>
      <c r="J264" s="491"/>
      <c r="K264" s="491"/>
      <c r="L264" s="491"/>
      <c r="M264" s="491"/>
      <c r="N264" s="491"/>
      <c r="O264" s="491"/>
      <c r="P264" s="491"/>
      <c r="Q264" s="491"/>
      <c r="R264" s="226"/>
      <c r="S264" s="220"/>
      <c r="T264" s="220"/>
      <c r="U264" s="214"/>
      <c r="V264" s="491"/>
      <c r="W264" s="491"/>
      <c r="X264" s="491"/>
      <c r="Y264" s="491"/>
      <c r="Z264" s="491"/>
      <c r="AA264" s="491"/>
      <c r="AB264" s="491"/>
      <c r="AC264" s="491"/>
      <c r="AD264" s="491"/>
      <c r="AE264" s="491"/>
      <c r="AF264" s="491"/>
      <c r="AG264" s="491"/>
      <c r="AH264" s="193"/>
    </row>
    <row r="265" spans="1:34" x14ac:dyDescent="0.25">
      <c r="A265" s="193"/>
      <c r="B265" s="492"/>
      <c r="C265" s="492"/>
      <c r="D265" s="491"/>
      <c r="E265" s="491"/>
      <c r="F265" s="496"/>
      <c r="G265" s="231"/>
      <c r="H265" s="492"/>
      <c r="I265" s="492"/>
      <c r="J265" s="492"/>
      <c r="K265" s="492"/>
      <c r="L265" s="492"/>
      <c r="M265" s="492"/>
      <c r="N265" s="492"/>
      <c r="O265" s="492"/>
      <c r="P265" s="492"/>
      <c r="Q265" s="492"/>
      <c r="R265" s="221"/>
      <c r="S265" s="493">
        <f>+SUM(L261:M265)/12</f>
        <v>14.833333333333334</v>
      </c>
      <c r="T265" s="493"/>
      <c r="U265" s="222"/>
      <c r="V265" s="492"/>
      <c r="W265" s="492"/>
      <c r="X265" s="492"/>
      <c r="Y265" s="492"/>
      <c r="Z265" s="492"/>
      <c r="AA265" s="492"/>
      <c r="AB265" s="492"/>
      <c r="AC265" s="492"/>
      <c r="AD265" s="492"/>
      <c r="AE265" s="492"/>
      <c r="AF265" s="492"/>
      <c r="AG265" s="492"/>
      <c r="AH265" s="193"/>
    </row>
    <row r="266" spans="1:34" x14ac:dyDescent="0.25">
      <c r="A266" s="193"/>
      <c r="B266" s="490"/>
      <c r="C266" s="490" t="s">
        <v>286</v>
      </c>
      <c r="D266" s="490">
        <v>5</v>
      </c>
      <c r="E266" s="490">
        <v>0.625</v>
      </c>
      <c r="F266" s="494">
        <v>16</v>
      </c>
      <c r="G266" s="229"/>
      <c r="H266" s="490"/>
      <c r="I266" s="490">
        <f>ROUNDUP(M261/F266,0)</f>
        <v>9</v>
      </c>
      <c r="J266" s="490">
        <v>1</v>
      </c>
      <c r="K266" s="490"/>
      <c r="L266" s="490">
        <f>G249-2-2</f>
        <v>58.04</v>
      </c>
      <c r="M266" s="490"/>
      <c r="N266" s="490"/>
      <c r="O266" s="490"/>
      <c r="P266" s="490"/>
      <c r="Q266" s="490"/>
      <c r="R266" s="213"/>
      <c r="S266" s="498"/>
      <c r="T266" s="498"/>
      <c r="U266" s="214"/>
      <c r="V266" s="490">
        <f>SUM(R266:U270)</f>
        <v>4.8366666666666669</v>
      </c>
      <c r="W266" s="490">
        <f>+SUM(K266:Q270)</f>
        <v>58.04</v>
      </c>
      <c r="X266" s="490">
        <f>(+I266*J266*W266)/12</f>
        <v>43.53</v>
      </c>
      <c r="Y266" s="490">
        <f t="shared" ref="Y266:AF266" si="47">IF(Y$4=$D266,$X266*Y$5,0)</f>
        <v>0</v>
      </c>
      <c r="Z266" s="490">
        <f t="shared" si="47"/>
        <v>0</v>
      </c>
      <c r="AA266" s="490">
        <f t="shared" si="47"/>
        <v>45.401789999999998</v>
      </c>
      <c r="AB266" s="490">
        <f t="shared" si="47"/>
        <v>0</v>
      </c>
      <c r="AC266" s="490">
        <f t="shared" si="47"/>
        <v>0</v>
      </c>
      <c r="AD266" s="490">
        <f t="shared" si="47"/>
        <v>0</v>
      </c>
      <c r="AE266" s="490">
        <f t="shared" si="47"/>
        <v>0</v>
      </c>
      <c r="AF266" s="490">
        <f t="shared" si="47"/>
        <v>0</v>
      </c>
      <c r="AG266" s="490"/>
      <c r="AH266" s="193"/>
    </row>
    <row r="267" spans="1:34" x14ac:dyDescent="0.25">
      <c r="A267" s="193"/>
      <c r="B267" s="491"/>
      <c r="C267" s="491"/>
      <c r="D267" s="491"/>
      <c r="E267" s="491"/>
      <c r="F267" s="495"/>
      <c r="G267" s="230"/>
      <c r="H267" s="491"/>
      <c r="I267" s="491"/>
      <c r="J267" s="491"/>
      <c r="K267" s="491"/>
      <c r="L267" s="491"/>
      <c r="M267" s="491"/>
      <c r="N267" s="491"/>
      <c r="O267" s="491"/>
      <c r="P267" s="491"/>
      <c r="Q267" s="491"/>
      <c r="R267" s="213"/>
      <c r="S267" s="215"/>
      <c r="T267" s="216"/>
      <c r="U267" s="214"/>
      <c r="V267" s="491"/>
      <c r="W267" s="491"/>
      <c r="X267" s="491"/>
      <c r="Y267" s="491"/>
      <c r="Z267" s="491"/>
      <c r="AA267" s="491"/>
      <c r="AB267" s="491"/>
      <c r="AC267" s="491"/>
      <c r="AD267" s="491"/>
      <c r="AE267" s="491"/>
      <c r="AF267" s="491"/>
      <c r="AG267" s="491"/>
      <c r="AH267" s="193"/>
    </row>
    <row r="268" spans="1:34" x14ac:dyDescent="0.25">
      <c r="A268" s="193"/>
      <c r="B268" s="491"/>
      <c r="C268" s="491"/>
      <c r="D268" s="491"/>
      <c r="E268" s="491"/>
      <c r="F268" s="495"/>
      <c r="G268" s="230"/>
      <c r="H268" s="491"/>
      <c r="I268" s="491"/>
      <c r="J268" s="491"/>
      <c r="K268" s="491"/>
      <c r="L268" s="491"/>
      <c r="M268" s="491"/>
      <c r="N268" s="491"/>
      <c r="O268" s="491"/>
      <c r="P268" s="491"/>
      <c r="Q268" s="497"/>
      <c r="R268" s="217"/>
      <c r="S268" s="218"/>
      <c r="T268" s="218"/>
      <c r="U268" s="219"/>
      <c r="V268" s="491"/>
      <c r="W268" s="491"/>
      <c r="X268" s="491"/>
      <c r="Y268" s="491"/>
      <c r="Z268" s="491"/>
      <c r="AA268" s="491"/>
      <c r="AB268" s="491"/>
      <c r="AC268" s="491"/>
      <c r="AD268" s="491"/>
      <c r="AE268" s="491"/>
      <c r="AF268" s="491"/>
      <c r="AG268" s="491"/>
      <c r="AH268" s="193"/>
    </row>
    <row r="269" spans="1:34" ht="15.75" thickBot="1" x14ac:dyDescent="0.3">
      <c r="A269" s="193"/>
      <c r="B269" s="491"/>
      <c r="C269" s="491"/>
      <c r="D269" s="491"/>
      <c r="E269" s="491"/>
      <c r="F269" s="495"/>
      <c r="G269" s="230"/>
      <c r="H269" s="491"/>
      <c r="I269" s="491"/>
      <c r="J269" s="491"/>
      <c r="K269" s="491"/>
      <c r="L269" s="491"/>
      <c r="M269" s="491"/>
      <c r="N269" s="491"/>
      <c r="O269" s="491"/>
      <c r="P269" s="491"/>
      <c r="Q269" s="497"/>
      <c r="R269" s="213"/>
      <c r="S269" s="220"/>
      <c r="T269" s="220"/>
      <c r="U269" s="214"/>
      <c r="V269" s="491"/>
      <c r="W269" s="491"/>
      <c r="X269" s="491"/>
      <c r="Y269" s="491"/>
      <c r="Z269" s="491"/>
      <c r="AA269" s="491"/>
      <c r="AB269" s="491"/>
      <c r="AC269" s="491"/>
      <c r="AD269" s="491"/>
      <c r="AE269" s="491"/>
      <c r="AF269" s="491"/>
      <c r="AG269" s="491"/>
      <c r="AH269" s="193"/>
    </row>
    <row r="270" spans="1:34" x14ac:dyDescent="0.25">
      <c r="A270" s="193"/>
      <c r="B270" s="492"/>
      <c r="C270" s="492"/>
      <c r="D270" s="491"/>
      <c r="E270" s="491"/>
      <c r="F270" s="496"/>
      <c r="G270" s="231"/>
      <c r="H270" s="492"/>
      <c r="I270" s="492"/>
      <c r="J270" s="492"/>
      <c r="K270" s="492"/>
      <c r="L270" s="492"/>
      <c r="M270" s="492"/>
      <c r="N270" s="492"/>
      <c r="O270" s="492"/>
      <c r="P270" s="492"/>
      <c r="Q270" s="492"/>
      <c r="R270" s="221"/>
      <c r="S270" s="493">
        <f>L266/12</f>
        <v>4.8366666666666669</v>
      </c>
      <c r="T270" s="493"/>
      <c r="U270" s="222"/>
      <c r="V270" s="492"/>
      <c r="W270" s="492"/>
      <c r="X270" s="492"/>
      <c r="Y270" s="492"/>
      <c r="Z270" s="492"/>
      <c r="AA270" s="492"/>
      <c r="AB270" s="492"/>
      <c r="AC270" s="492"/>
      <c r="AD270" s="492"/>
      <c r="AE270" s="492"/>
      <c r="AF270" s="492"/>
      <c r="AG270" s="492"/>
      <c r="AH270" s="193"/>
    </row>
    <row r="271" spans="1:34" ht="15.75" thickBot="1" x14ac:dyDescent="0.3">
      <c r="A271" s="195"/>
      <c r="B271" s="200" t="s">
        <v>297</v>
      </c>
      <c r="C271" s="199" t="s">
        <v>264</v>
      </c>
      <c r="D271" s="197">
        <v>60</v>
      </c>
      <c r="E271" s="201">
        <v>8</v>
      </c>
      <c r="F271" s="202"/>
      <c r="G271" s="202">
        <f>9*12</f>
        <v>108</v>
      </c>
      <c r="H271" s="202">
        <v>20</v>
      </c>
      <c r="I271" s="202">
        <v>12</v>
      </c>
      <c r="J271" s="202">
        <v>12</v>
      </c>
      <c r="K271" s="199"/>
      <c r="L271" s="199"/>
      <c r="M271" s="199"/>
      <c r="N271" s="199"/>
      <c r="O271" s="199"/>
      <c r="P271" s="199"/>
      <c r="Q271" s="198"/>
      <c r="R271" s="196"/>
      <c r="S271" s="196"/>
      <c r="T271" s="196"/>
      <c r="U271" s="196"/>
      <c r="V271" s="203"/>
      <c r="W271" s="202"/>
      <c r="X271" s="202"/>
      <c r="Y271" s="199"/>
      <c r="Z271" s="199"/>
      <c r="AA271" s="199"/>
      <c r="AB271" s="199"/>
      <c r="AC271" s="199"/>
      <c r="AD271" s="199"/>
      <c r="AE271" s="199"/>
      <c r="AF271" s="199"/>
      <c r="AG271" s="199"/>
      <c r="AH271" s="195"/>
    </row>
    <row r="272" spans="1:34" ht="15.75" thickBot="1" x14ac:dyDescent="0.3">
      <c r="A272" s="193"/>
      <c r="B272" s="204"/>
      <c r="C272" s="205"/>
      <c r="D272" s="194"/>
      <c r="E272" s="206"/>
      <c r="F272" s="205"/>
      <c r="G272" s="205"/>
      <c r="H272" s="207">
        <v>3</v>
      </c>
      <c r="I272" s="207">
        <v>2</v>
      </c>
      <c r="J272" s="205"/>
      <c r="K272" s="205"/>
      <c r="L272" s="205"/>
      <c r="M272" s="205"/>
      <c r="N272" s="205"/>
      <c r="O272" s="205"/>
      <c r="P272" s="205"/>
      <c r="Q272" s="208"/>
      <c r="R272" s="209"/>
      <c r="S272" s="210"/>
      <c r="T272" s="210"/>
      <c r="U272" s="211"/>
      <c r="V272" s="212"/>
      <c r="W272" s="204"/>
      <c r="X272" s="204"/>
      <c r="Y272" s="205"/>
      <c r="Z272" s="205"/>
      <c r="AA272" s="205"/>
      <c r="AB272" s="205"/>
      <c r="AC272" s="205"/>
      <c r="AD272" s="205"/>
      <c r="AE272" s="205"/>
      <c r="AF272" s="205"/>
      <c r="AG272" s="205"/>
      <c r="AH272" s="193"/>
    </row>
    <row r="273" spans="1:34" x14ac:dyDescent="0.25">
      <c r="A273" s="193"/>
      <c r="B273" s="490"/>
      <c r="C273" s="499" t="s">
        <v>265</v>
      </c>
      <c r="D273" s="490">
        <v>5</v>
      </c>
      <c r="E273" s="490">
        <v>0.625</v>
      </c>
      <c r="F273" s="490"/>
      <c r="G273" s="490">
        <f>G271</f>
        <v>108</v>
      </c>
      <c r="H273" s="490"/>
      <c r="I273" s="490">
        <v>2</v>
      </c>
      <c r="J273" s="490">
        <v>1</v>
      </c>
      <c r="K273" s="490"/>
      <c r="L273" s="490">
        <f>G271-2-2</f>
        <v>104</v>
      </c>
      <c r="M273" s="490"/>
      <c r="N273" s="490"/>
      <c r="O273" s="490"/>
      <c r="P273" s="490"/>
      <c r="Q273" s="490"/>
      <c r="R273" s="213"/>
      <c r="S273" s="502"/>
      <c r="T273" s="502"/>
      <c r="U273" s="214"/>
      <c r="V273" s="490">
        <f>SUM(R273:U277)</f>
        <v>8.6666666666666661</v>
      </c>
      <c r="W273" s="490">
        <f>+SUM(K273:Q277)</f>
        <v>104</v>
      </c>
      <c r="X273" s="490">
        <f>(+I273*J273*W273)/12</f>
        <v>17.333333333333332</v>
      </c>
      <c r="Y273" s="490">
        <f>IF(Y$4=$D273,$X273*Y$5,0)</f>
        <v>0</v>
      </c>
      <c r="Z273" s="490">
        <f t="shared" ref="Z273:AF273" si="48">IF(Z$4=$D273,$X273*Z$5,0)</f>
        <v>0</v>
      </c>
      <c r="AA273" s="490">
        <f t="shared" si="48"/>
        <v>18.078666666666663</v>
      </c>
      <c r="AB273" s="490">
        <f t="shared" si="48"/>
        <v>0</v>
      </c>
      <c r="AC273" s="490">
        <f t="shared" si="48"/>
        <v>0</v>
      </c>
      <c r="AD273" s="490">
        <f t="shared" si="48"/>
        <v>0</v>
      </c>
      <c r="AE273" s="490">
        <f t="shared" si="48"/>
        <v>0</v>
      </c>
      <c r="AF273" s="490">
        <f t="shared" si="48"/>
        <v>0</v>
      </c>
      <c r="AG273" s="490"/>
      <c r="AH273" s="193"/>
    </row>
    <row r="274" spans="1:34" x14ac:dyDescent="0.25">
      <c r="A274" s="193"/>
      <c r="B274" s="491"/>
      <c r="C274" s="500"/>
      <c r="D274" s="491"/>
      <c r="E274" s="491"/>
      <c r="F274" s="491"/>
      <c r="G274" s="491"/>
      <c r="H274" s="491"/>
      <c r="I274" s="491"/>
      <c r="J274" s="491"/>
      <c r="K274" s="491"/>
      <c r="L274" s="491"/>
      <c r="M274" s="491"/>
      <c r="N274" s="491"/>
      <c r="O274" s="491"/>
      <c r="P274" s="491"/>
      <c r="Q274" s="491"/>
      <c r="R274" s="213"/>
      <c r="S274" s="215"/>
      <c r="T274" s="216"/>
      <c r="U274" s="214"/>
      <c r="V274" s="491"/>
      <c r="W274" s="491"/>
      <c r="X274" s="491"/>
      <c r="Y274" s="491"/>
      <c r="Z274" s="491"/>
      <c r="AA274" s="491"/>
      <c r="AB274" s="491"/>
      <c r="AC274" s="491"/>
      <c r="AD274" s="491"/>
      <c r="AE274" s="491"/>
      <c r="AF274" s="491"/>
      <c r="AG274" s="491"/>
      <c r="AH274" s="193"/>
    </row>
    <row r="275" spans="1:34" x14ac:dyDescent="0.25">
      <c r="A275" s="193"/>
      <c r="B275" s="491"/>
      <c r="C275" s="500"/>
      <c r="D275" s="491"/>
      <c r="E275" s="491"/>
      <c r="F275" s="491"/>
      <c r="G275" s="491"/>
      <c r="H275" s="491"/>
      <c r="I275" s="491"/>
      <c r="J275" s="491"/>
      <c r="K275" s="491"/>
      <c r="L275" s="491"/>
      <c r="M275" s="491"/>
      <c r="N275" s="491"/>
      <c r="O275" s="491"/>
      <c r="P275" s="491"/>
      <c r="Q275" s="491"/>
      <c r="R275" s="217"/>
      <c r="S275" s="218"/>
      <c r="T275" s="218"/>
      <c r="U275" s="219"/>
      <c r="V275" s="491"/>
      <c r="W275" s="491"/>
      <c r="X275" s="491"/>
      <c r="Y275" s="491"/>
      <c r="Z275" s="491"/>
      <c r="AA275" s="491"/>
      <c r="AB275" s="491"/>
      <c r="AC275" s="491"/>
      <c r="AD275" s="491"/>
      <c r="AE275" s="491"/>
      <c r="AF275" s="491"/>
      <c r="AG275" s="491"/>
      <c r="AH275" s="193"/>
    </row>
    <row r="276" spans="1:34" ht="15.75" thickBot="1" x14ac:dyDescent="0.3">
      <c r="A276" s="193"/>
      <c r="B276" s="491"/>
      <c r="C276" s="500"/>
      <c r="D276" s="491"/>
      <c r="E276" s="491"/>
      <c r="F276" s="491"/>
      <c r="G276" s="491"/>
      <c r="H276" s="491"/>
      <c r="I276" s="491"/>
      <c r="J276" s="491"/>
      <c r="K276" s="491"/>
      <c r="L276" s="491"/>
      <c r="M276" s="491"/>
      <c r="N276" s="491"/>
      <c r="O276" s="491"/>
      <c r="P276" s="491"/>
      <c r="Q276" s="491"/>
      <c r="R276" s="213"/>
      <c r="S276" s="220"/>
      <c r="T276" s="220"/>
      <c r="U276" s="214"/>
      <c r="V276" s="491"/>
      <c r="W276" s="491"/>
      <c r="X276" s="491"/>
      <c r="Y276" s="491"/>
      <c r="Z276" s="491"/>
      <c r="AA276" s="491"/>
      <c r="AB276" s="491"/>
      <c r="AC276" s="491"/>
      <c r="AD276" s="491"/>
      <c r="AE276" s="491"/>
      <c r="AF276" s="491"/>
      <c r="AG276" s="491"/>
      <c r="AH276" s="193"/>
    </row>
    <row r="277" spans="1:34" x14ac:dyDescent="0.25">
      <c r="A277" s="193"/>
      <c r="B277" s="492"/>
      <c r="C277" s="501"/>
      <c r="D277" s="492"/>
      <c r="E277" s="492"/>
      <c r="F277" s="492"/>
      <c r="G277" s="492"/>
      <c r="H277" s="492"/>
      <c r="I277" s="492"/>
      <c r="J277" s="492"/>
      <c r="K277" s="492"/>
      <c r="L277" s="492"/>
      <c r="M277" s="492"/>
      <c r="N277" s="492"/>
      <c r="O277" s="492"/>
      <c r="P277" s="492"/>
      <c r="Q277" s="492"/>
      <c r="R277" s="221"/>
      <c r="S277" s="493">
        <f>L273/12</f>
        <v>8.6666666666666661</v>
      </c>
      <c r="T277" s="493"/>
      <c r="U277" s="222"/>
      <c r="V277" s="492"/>
      <c r="W277" s="492"/>
      <c r="X277" s="492"/>
      <c r="Y277" s="492"/>
      <c r="Z277" s="492"/>
      <c r="AA277" s="492"/>
      <c r="AB277" s="492"/>
      <c r="AC277" s="492"/>
      <c r="AD277" s="492"/>
      <c r="AE277" s="492"/>
      <c r="AF277" s="492"/>
      <c r="AG277" s="492"/>
      <c r="AH277" s="193"/>
    </row>
    <row r="278" spans="1:34" x14ac:dyDescent="0.25">
      <c r="A278" s="193"/>
      <c r="B278" s="490"/>
      <c r="C278" s="499" t="s">
        <v>271</v>
      </c>
      <c r="D278" s="490">
        <v>5</v>
      </c>
      <c r="E278" s="490">
        <v>0.625</v>
      </c>
      <c r="F278" s="490"/>
      <c r="G278" s="490"/>
      <c r="H278" s="490"/>
      <c r="I278" s="490">
        <v>2</v>
      </c>
      <c r="J278" s="490">
        <v>2</v>
      </c>
      <c r="K278" s="490">
        <v>30</v>
      </c>
      <c r="L278" s="490">
        <v>30</v>
      </c>
      <c r="M278" s="490"/>
      <c r="N278" s="490"/>
      <c r="O278" s="490"/>
      <c r="P278" s="490"/>
      <c r="Q278" s="490"/>
      <c r="R278" s="213"/>
      <c r="S278" s="498"/>
      <c r="T278" s="498"/>
      <c r="U278" s="214"/>
      <c r="V278" s="490">
        <f>SUM(R278:U282)</f>
        <v>5</v>
      </c>
      <c r="W278" s="490">
        <f>+SUM(K278:Q282)</f>
        <v>60</v>
      </c>
      <c r="X278" s="490">
        <f>(+I278*J278*W278)/12</f>
        <v>20</v>
      </c>
      <c r="Y278" s="490">
        <f t="shared" ref="Y278:AF278" si="49">IF(Y$4=$D278,$X278*Y$5,0)</f>
        <v>0</v>
      </c>
      <c r="Z278" s="490">
        <f t="shared" si="49"/>
        <v>0</v>
      </c>
      <c r="AA278" s="490">
        <f t="shared" si="49"/>
        <v>20.86</v>
      </c>
      <c r="AB278" s="490">
        <f t="shared" si="49"/>
        <v>0</v>
      </c>
      <c r="AC278" s="490">
        <f t="shared" si="49"/>
        <v>0</v>
      </c>
      <c r="AD278" s="490">
        <f t="shared" si="49"/>
        <v>0</v>
      </c>
      <c r="AE278" s="490">
        <f t="shared" si="49"/>
        <v>0</v>
      </c>
      <c r="AF278" s="490">
        <f t="shared" si="49"/>
        <v>0</v>
      </c>
      <c r="AG278" s="490"/>
      <c r="AH278" s="193"/>
    </row>
    <row r="279" spans="1:34" x14ac:dyDescent="0.25">
      <c r="A279" s="193"/>
      <c r="B279" s="491"/>
      <c r="C279" s="500"/>
      <c r="D279" s="491"/>
      <c r="E279" s="491"/>
      <c r="F279" s="491"/>
      <c r="G279" s="491"/>
      <c r="H279" s="491"/>
      <c r="I279" s="491"/>
      <c r="J279" s="491"/>
      <c r="K279" s="491"/>
      <c r="L279" s="491"/>
      <c r="M279" s="491"/>
      <c r="N279" s="491"/>
      <c r="O279" s="491"/>
      <c r="P279" s="491"/>
      <c r="Q279" s="491"/>
      <c r="R279" s="213"/>
      <c r="S279" s="215"/>
      <c r="T279" s="216"/>
      <c r="U279" s="214"/>
      <c r="V279" s="491"/>
      <c r="W279" s="491"/>
      <c r="X279" s="491"/>
      <c r="Y279" s="491"/>
      <c r="Z279" s="491"/>
      <c r="AA279" s="491"/>
      <c r="AB279" s="491"/>
      <c r="AC279" s="491"/>
      <c r="AD279" s="491"/>
      <c r="AE279" s="491"/>
      <c r="AF279" s="491"/>
      <c r="AG279" s="491"/>
      <c r="AH279" s="193"/>
    </row>
    <row r="280" spans="1:34" x14ac:dyDescent="0.25">
      <c r="A280" s="193"/>
      <c r="B280" s="491"/>
      <c r="C280" s="500"/>
      <c r="D280" s="491"/>
      <c r="E280" s="491"/>
      <c r="F280" s="491"/>
      <c r="G280" s="491"/>
      <c r="H280" s="491"/>
      <c r="I280" s="491"/>
      <c r="J280" s="491"/>
      <c r="K280" s="491"/>
      <c r="L280" s="491"/>
      <c r="M280" s="491"/>
      <c r="N280" s="491"/>
      <c r="O280" s="491"/>
      <c r="P280" s="491"/>
      <c r="Q280" s="491"/>
      <c r="R280" s="217">
        <f>K278/12</f>
        <v>2.5</v>
      </c>
      <c r="S280" s="223"/>
      <c r="T280" s="195"/>
      <c r="U280" s="219"/>
      <c r="V280" s="491"/>
      <c r="W280" s="491"/>
      <c r="X280" s="491"/>
      <c r="Y280" s="491"/>
      <c r="Z280" s="491"/>
      <c r="AA280" s="491"/>
      <c r="AB280" s="491"/>
      <c r="AC280" s="491"/>
      <c r="AD280" s="491"/>
      <c r="AE280" s="491"/>
      <c r="AF280" s="491"/>
      <c r="AG280" s="491"/>
      <c r="AH280" s="193"/>
    </row>
    <row r="281" spans="1:34" ht="15.75" thickBot="1" x14ac:dyDescent="0.3">
      <c r="A281" s="193"/>
      <c r="B281" s="491"/>
      <c r="C281" s="500"/>
      <c r="D281" s="491"/>
      <c r="E281" s="491"/>
      <c r="F281" s="491"/>
      <c r="G281" s="491"/>
      <c r="H281" s="491"/>
      <c r="I281" s="491"/>
      <c r="J281" s="491"/>
      <c r="K281" s="491"/>
      <c r="L281" s="491"/>
      <c r="M281" s="491"/>
      <c r="N281" s="491"/>
      <c r="O281" s="491"/>
      <c r="P281" s="491"/>
      <c r="Q281" s="491"/>
      <c r="R281" s="213"/>
      <c r="S281" s="224"/>
      <c r="T281" s="220"/>
      <c r="U281" s="214"/>
      <c r="V281" s="491"/>
      <c r="W281" s="491"/>
      <c r="X281" s="491"/>
      <c r="Y281" s="491"/>
      <c r="Z281" s="491"/>
      <c r="AA281" s="491"/>
      <c r="AB281" s="491"/>
      <c r="AC281" s="491"/>
      <c r="AD281" s="491"/>
      <c r="AE281" s="491"/>
      <c r="AF281" s="491"/>
      <c r="AG281" s="491"/>
      <c r="AH281" s="193"/>
    </row>
    <row r="282" spans="1:34" x14ac:dyDescent="0.25">
      <c r="A282" s="193"/>
      <c r="B282" s="492"/>
      <c r="C282" s="501"/>
      <c r="D282" s="492"/>
      <c r="E282" s="492"/>
      <c r="F282" s="492"/>
      <c r="G282" s="492"/>
      <c r="H282" s="492"/>
      <c r="I282" s="492"/>
      <c r="J282" s="492"/>
      <c r="K282" s="492"/>
      <c r="L282" s="492"/>
      <c r="M282" s="492"/>
      <c r="N282" s="492"/>
      <c r="O282" s="492"/>
      <c r="P282" s="492"/>
      <c r="Q282" s="492"/>
      <c r="R282" s="221"/>
      <c r="S282" s="493">
        <f>L278/12</f>
        <v>2.5</v>
      </c>
      <c r="T282" s="493"/>
      <c r="U282" s="222"/>
      <c r="V282" s="492"/>
      <c r="W282" s="492"/>
      <c r="X282" s="492"/>
      <c r="Y282" s="492"/>
      <c r="Z282" s="492"/>
      <c r="AA282" s="492"/>
      <c r="AB282" s="492"/>
      <c r="AC282" s="492"/>
      <c r="AD282" s="492"/>
      <c r="AE282" s="492"/>
      <c r="AF282" s="492"/>
      <c r="AG282" s="492"/>
      <c r="AH282" s="193"/>
    </row>
    <row r="283" spans="1:34" x14ac:dyDescent="0.25">
      <c r="A283" s="193"/>
      <c r="B283" s="490"/>
      <c r="C283" s="490" t="s">
        <v>277</v>
      </c>
      <c r="D283" s="490">
        <v>5</v>
      </c>
      <c r="E283" s="490">
        <v>0.625</v>
      </c>
      <c r="F283" s="494">
        <v>16</v>
      </c>
      <c r="G283" s="229"/>
      <c r="H283" s="490"/>
      <c r="I283" s="490">
        <f>ROUNDUP(G273/F283,0)</f>
        <v>7</v>
      </c>
      <c r="J283" s="490">
        <v>1</v>
      </c>
      <c r="K283" s="490">
        <v>6</v>
      </c>
      <c r="L283" s="490">
        <f>4*12-2</f>
        <v>46</v>
      </c>
      <c r="M283" s="490">
        <f>11*12</f>
        <v>132</v>
      </c>
      <c r="N283" s="490"/>
      <c r="O283" s="490"/>
      <c r="P283" s="490"/>
      <c r="Q283" s="490"/>
      <c r="R283" s="213"/>
      <c r="S283" s="498"/>
      <c r="T283" s="498"/>
      <c r="U283" s="214"/>
      <c r="V283" s="490">
        <f>SUM(R283:U287)</f>
        <v>15.333333333333334</v>
      </c>
      <c r="W283" s="490">
        <f>+SUM(K283:Q287)</f>
        <v>184</v>
      </c>
      <c r="X283" s="490">
        <f>(+I283*J283*W283)/12</f>
        <v>107.33333333333333</v>
      </c>
      <c r="Y283" s="490">
        <f t="shared" ref="Y283:AF283" si="50">IF(Y$4=$D283,$X283*Y$5,0)</f>
        <v>0</v>
      </c>
      <c r="Z283" s="490">
        <f t="shared" si="50"/>
        <v>0</v>
      </c>
      <c r="AA283" s="490">
        <f t="shared" si="50"/>
        <v>111.94866666666665</v>
      </c>
      <c r="AB283" s="490">
        <f t="shared" si="50"/>
        <v>0</v>
      </c>
      <c r="AC283" s="490">
        <f t="shared" si="50"/>
        <v>0</v>
      </c>
      <c r="AD283" s="490">
        <f t="shared" si="50"/>
        <v>0</v>
      </c>
      <c r="AE283" s="490">
        <f t="shared" si="50"/>
        <v>0</v>
      </c>
      <c r="AF283" s="490">
        <f t="shared" si="50"/>
        <v>0</v>
      </c>
      <c r="AG283" s="490"/>
      <c r="AH283" s="193"/>
    </row>
    <row r="284" spans="1:34" x14ac:dyDescent="0.25">
      <c r="A284" s="193"/>
      <c r="B284" s="491"/>
      <c r="C284" s="491"/>
      <c r="D284" s="491"/>
      <c r="E284" s="491"/>
      <c r="F284" s="495"/>
      <c r="G284" s="230"/>
      <c r="H284" s="491"/>
      <c r="I284" s="491"/>
      <c r="J284" s="491"/>
      <c r="K284" s="491"/>
      <c r="L284" s="491"/>
      <c r="M284" s="491"/>
      <c r="N284" s="491"/>
      <c r="O284" s="491"/>
      <c r="P284" s="491"/>
      <c r="Q284" s="491"/>
      <c r="R284" s="213"/>
      <c r="S284" s="215"/>
      <c r="T284" s="216"/>
      <c r="U284" s="214"/>
      <c r="V284" s="491"/>
      <c r="W284" s="491"/>
      <c r="X284" s="491"/>
      <c r="Y284" s="491"/>
      <c r="Z284" s="491"/>
      <c r="AA284" s="491"/>
      <c r="AB284" s="491"/>
      <c r="AC284" s="491"/>
      <c r="AD284" s="491"/>
      <c r="AE284" s="491"/>
      <c r="AF284" s="491"/>
      <c r="AG284" s="491"/>
      <c r="AH284" s="193"/>
    </row>
    <row r="285" spans="1:34" x14ac:dyDescent="0.25">
      <c r="A285" s="193"/>
      <c r="B285" s="491"/>
      <c r="C285" s="491"/>
      <c r="D285" s="491"/>
      <c r="E285" s="491"/>
      <c r="F285" s="495"/>
      <c r="G285" s="230"/>
      <c r="H285" s="491"/>
      <c r="I285" s="491"/>
      <c r="J285" s="491"/>
      <c r="K285" s="491"/>
      <c r="L285" s="491"/>
      <c r="M285" s="491"/>
      <c r="N285" s="491"/>
      <c r="O285" s="491"/>
      <c r="P285" s="491"/>
      <c r="Q285" s="491"/>
      <c r="R285" s="225">
        <f>K283/12</f>
        <v>0.5</v>
      </c>
      <c r="S285" s="218"/>
      <c r="T285" s="218"/>
      <c r="U285" s="219"/>
      <c r="V285" s="491"/>
      <c r="W285" s="491"/>
      <c r="X285" s="491"/>
      <c r="Y285" s="491"/>
      <c r="Z285" s="491"/>
      <c r="AA285" s="491"/>
      <c r="AB285" s="491"/>
      <c r="AC285" s="491"/>
      <c r="AD285" s="491"/>
      <c r="AE285" s="491"/>
      <c r="AF285" s="491"/>
      <c r="AG285" s="491"/>
      <c r="AH285" s="193"/>
    </row>
    <row r="286" spans="1:34" ht="15.75" thickBot="1" x14ac:dyDescent="0.3">
      <c r="A286" s="193"/>
      <c r="B286" s="491"/>
      <c r="C286" s="491"/>
      <c r="D286" s="491"/>
      <c r="E286" s="491"/>
      <c r="F286" s="495"/>
      <c r="G286" s="230"/>
      <c r="H286" s="491"/>
      <c r="I286" s="491"/>
      <c r="J286" s="491"/>
      <c r="K286" s="491"/>
      <c r="L286" s="491"/>
      <c r="M286" s="491"/>
      <c r="N286" s="491"/>
      <c r="O286" s="491"/>
      <c r="P286" s="491"/>
      <c r="Q286" s="491"/>
      <c r="R286" s="226"/>
      <c r="S286" s="220"/>
      <c r="T286" s="220"/>
      <c r="U286" s="214"/>
      <c r="V286" s="491"/>
      <c r="W286" s="491"/>
      <c r="X286" s="491"/>
      <c r="Y286" s="491"/>
      <c r="Z286" s="491"/>
      <c r="AA286" s="491"/>
      <c r="AB286" s="491"/>
      <c r="AC286" s="491"/>
      <c r="AD286" s="491"/>
      <c r="AE286" s="491"/>
      <c r="AF286" s="491"/>
      <c r="AG286" s="491"/>
      <c r="AH286" s="193"/>
    </row>
    <row r="287" spans="1:34" x14ac:dyDescent="0.25">
      <c r="A287" s="193"/>
      <c r="B287" s="492"/>
      <c r="C287" s="492"/>
      <c r="D287" s="491"/>
      <c r="E287" s="491"/>
      <c r="F287" s="496"/>
      <c r="G287" s="231"/>
      <c r="H287" s="492"/>
      <c r="I287" s="492"/>
      <c r="J287" s="492"/>
      <c r="K287" s="492"/>
      <c r="L287" s="492"/>
      <c r="M287" s="492"/>
      <c r="N287" s="492"/>
      <c r="O287" s="492"/>
      <c r="P287" s="492"/>
      <c r="Q287" s="492"/>
      <c r="R287" s="221"/>
      <c r="S287" s="493">
        <f>+SUM(L283:M287)/12</f>
        <v>14.833333333333334</v>
      </c>
      <c r="T287" s="493"/>
      <c r="U287" s="222"/>
      <c r="V287" s="492"/>
      <c r="W287" s="492"/>
      <c r="X287" s="492"/>
      <c r="Y287" s="492"/>
      <c r="Z287" s="492"/>
      <c r="AA287" s="492"/>
      <c r="AB287" s="492"/>
      <c r="AC287" s="492"/>
      <c r="AD287" s="492"/>
      <c r="AE287" s="492"/>
      <c r="AF287" s="492"/>
      <c r="AG287" s="492"/>
      <c r="AH287" s="193"/>
    </row>
    <row r="288" spans="1:34" x14ac:dyDescent="0.25">
      <c r="A288" s="193"/>
      <c r="B288" s="490"/>
      <c r="C288" s="490" t="s">
        <v>286</v>
      </c>
      <c r="D288" s="490">
        <v>5</v>
      </c>
      <c r="E288" s="490">
        <v>0.625</v>
      </c>
      <c r="F288" s="494">
        <v>16</v>
      </c>
      <c r="G288" s="229"/>
      <c r="H288" s="490"/>
      <c r="I288" s="490">
        <f>ROUNDUP(M283/F288,0)</f>
        <v>9</v>
      </c>
      <c r="J288" s="490">
        <v>1</v>
      </c>
      <c r="K288" s="490"/>
      <c r="L288" s="490">
        <f>G271-2-2</f>
        <v>104</v>
      </c>
      <c r="M288" s="490"/>
      <c r="N288" s="490"/>
      <c r="O288" s="490"/>
      <c r="P288" s="490"/>
      <c r="Q288" s="490"/>
      <c r="R288" s="213"/>
      <c r="S288" s="498"/>
      <c r="T288" s="498"/>
      <c r="U288" s="214"/>
      <c r="V288" s="490">
        <f>SUM(R288:U292)</f>
        <v>8.6666666666666661</v>
      </c>
      <c r="W288" s="490">
        <f>+SUM(K288:Q292)</f>
        <v>104</v>
      </c>
      <c r="X288" s="490">
        <f>(+I288*J288*W288)/12</f>
        <v>78</v>
      </c>
      <c r="Y288" s="490">
        <f t="shared" ref="Y288:AF288" si="51">IF(Y$4=$D288,$X288*Y$5,0)</f>
        <v>0</v>
      </c>
      <c r="Z288" s="490">
        <f t="shared" si="51"/>
        <v>0</v>
      </c>
      <c r="AA288" s="490">
        <f t="shared" si="51"/>
        <v>81.353999999999999</v>
      </c>
      <c r="AB288" s="490">
        <f t="shared" si="51"/>
        <v>0</v>
      </c>
      <c r="AC288" s="490">
        <f t="shared" si="51"/>
        <v>0</v>
      </c>
      <c r="AD288" s="490">
        <f t="shared" si="51"/>
        <v>0</v>
      </c>
      <c r="AE288" s="490">
        <f t="shared" si="51"/>
        <v>0</v>
      </c>
      <c r="AF288" s="490">
        <f t="shared" si="51"/>
        <v>0</v>
      </c>
      <c r="AG288" s="490"/>
      <c r="AH288" s="193"/>
    </row>
    <row r="289" spans="1:34" x14ac:dyDescent="0.25">
      <c r="A289" s="193"/>
      <c r="B289" s="491"/>
      <c r="C289" s="491"/>
      <c r="D289" s="491"/>
      <c r="E289" s="491"/>
      <c r="F289" s="495"/>
      <c r="G289" s="230"/>
      <c r="H289" s="491"/>
      <c r="I289" s="491"/>
      <c r="J289" s="491"/>
      <c r="K289" s="491"/>
      <c r="L289" s="491"/>
      <c r="M289" s="491"/>
      <c r="N289" s="491"/>
      <c r="O289" s="491"/>
      <c r="P289" s="491"/>
      <c r="Q289" s="491"/>
      <c r="R289" s="213"/>
      <c r="S289" s="215"/>
      <c r="T289" s="216"/>
      <c r="U289" s="214"/>
      <c r="V289" s="491"/>
      <c r="W289" s="491"/>
      <c r="X289" s="491"/>
      <c r="Y289" s="491"/>
      <c r="Z289" s="491"/>
      <c r="AA289" s="491"/>
      <c r="AB289" s="491"/>
      <c r="AC289" s="491"/>
      <c r="AD289" s="491"/>
      <c r="AE289" s="491"/>
      <c r="AF289" s="491"/>
      <c r="AG289" s="491"/>
      <c r="AH289" s="193"/>
    </row>
    <row r="290" spans="1:34" x14ac:dyDescent="0.25">
      <c r="A290" s="193"/>
      <c r="B290" s="491"/>
      <c r="C290" s="491"/>
      <c r="D290" s="491"/>
      <c r="E290" s="491"/>
      <c r="F290" s="495"/>
      <c r="G290" s="230"/>
      <c r="H290" s="491"/>
      <c r="I290" s="491"/>
      <c r="J290" s="491"/>
      <c r="K290" s="491"/>
      <c r="L290" s="491"/>
      <c r="M290" s="491"/>
      <c r="N290" s="491"/>
      <c r="O290" s="491"/>
      <c r="P290" s="491"/>
      <c r="Q290" s="497"/>
      <c r="R290" s="217"/>
      <c r="S290" s="218"/>
      <c r="T290" s="218"/>
      <c r="U290" s="219"/>
      <c r="V290" s="491"/>
      <c r="W290" s="491"/>
      <c r="X290" s="491"/>
      <c r="Y290" s="491"/>
      <c r="Z290" s="491"/>
      <c r="AA290" s="491"/>
      <c r="AB290" s="491"/>
      <c r="AC290" s="491"/>
      <c r="AD290" s="491"/>
      <c r="AE290" s="491"/>
      <c r="AF290" s="491"/>
      <c r="AG290" s="491"/>
      <c r="AH290" s="193"/>
    </row>
    <row r="291" spans="1:34" ht="15.75" thickBot="1" x14ac:dyDescent="0.3">
      <c r="A291" s="193"/>
      <c r="B291" s="491"/>
      <c r="C291" s="491"/>
      <c r="D291" s="491"/>
      <c r="E291" s="491"/>
      <c r="F291" s="495"/>
      <c r="G291" s="230"/>
      <c r="H291" s="491"/>
      <c r="I291" s="491"/>
      <c r="J291" s="491"/>
      <c r="K291" s="491"/>
      <c r="L291" s="491"/>
      <c r="M291" s="491"/>
      <c r="N291" s="491"/>
      <c r="O291" s="491"/>
      <c r="P291" s="491"/>
      <c r="Q291" s="497"/>
      <c r="R291" s="213"/>
      <c r="S291" s="220"/>
      <c r="T291" s="220"/>
      <c r="U291" s="214"/>
      <c r="V291" s="491"/>
      <c r="W291" s="491"/>
      <c r="X291" s="491"/>
      <c r="Y291" s="491"/>
      <c r="Z291" s="491"/>
      <c r="AA291" s="491"/>
      <c r="AB291" s="491"/>
      <c r="AC291" s="491"/>
      <c r="AD291" s="491"/>
      <c r="AE291" s="491"/>
      <c r="AF291" s="491"/>
      <c r="AG291" s="491"/>
      <c r="AH291" s="193"/>
    </row>
    <row r="292" spans="1:34" x14ac:dyDescent="0.25">
      <c r="A292" s="193"/>
      <c r="B292" s="492"/>
      <c r="C292" s="492"/>
      <c r="D292" s="491"/>
      <c r="E292" s="491"/>
      <c r="F292" s="496"/>
      <c r="G292" s="231"/>
      <c r="H292" s="492"/>
      <c r="I292" s="492"/>
      <c r="J292" s="492"/>
      <c r="K292" s="492"/>
      <c r="L292" s="492"/>
      <c r="M292" s="492"/>
      <c r="N292" s="492"/>
      <c r="O292" s="492"/>
      <c r="P292" s="492"/>
      <c r="Q292" s="492"/>
      <c r="R292" s="221"/>
      <c r="S292" s="493">
        <f>L288/12</f>
        <v>8.6666666666666661</v>
      </c>
      <c r="T292" s="493"/>
      <c r="U292" s="222"/>
      <c r="V292" s="492"/>
      <c r="W292" s="492"/>
      <c r="X292" s="492"/>
      <c r="Y292" s="492"/>
      <c r="Z292" s="492"/>
      <c r="AA292" s="492"/>
      <c r="AB292" s="492"/>
      <c r="AC292" s="492"/>
      <c r="AD292" s="492"/>
      <c r="AE292" s="492"/>
      <c r="AF292" s="492"/>
      <c r="AG292" s="492"/>
      <c r="AH292" s="193"/>
    </row>
    <row r="293" spans="1:34" ht="15.75" thickBot="1" x14ac:dyDescent="0.3">
      <c r="A293" s="195"/>
      <c r="B293" s="200" t="s">
        <v>298</v>
      </c>
      <c r="C293" s="199" t="s">
        <v>283</v>
      </c>
      <c r="D293" s="197">
        <v>60</v>
      </c>
      <c r="E293" s="201">
        <v>8</v>
      </c>
      <c r="F293" s="202"/>
      <c r="G293" s="202">
        <f>21.17*12</f>
        <v>254.04000000000002</v>
      </c>
      <c r="H293" s="202">
        <v>16</v>
      </c>
      <c r="I293" s="202">
        <v>12</v>
      </c>
      <c r="J293" s="202">
        <v>12</v>
      </c>
      <c r="K293" s="199"/>
      <c r="L293" s="199"/>
      <c r="M293" s="199"/>
      <c r="N293" s="199"/>
      <c r="O293" s="199"/>
      <c r="P293" s="199"/>
      <c r="Q293" s="198"/>
      <c r="R293" s="196"/>
      <c r="S293" s="196"/>
      <c r="T293" s="196"/>
      <c r="U293" s="196"/>
      <c r="V293" s="203"/>
      <c r="W293" s="202"/>
      <c r="X293" s="202"/>
      <c r="Y293" s="199"/>
      <c r="Z293" s="199"/>
      <c r="AA293" s="199"/>
      <c r="AB293" s="199"/>
      <c r="AC293" s="199"/>
      <c r="AD293" s="199"/>
      <c r="AE293" s="199"/>
      <c r="AF293" s="199"/>
      <c r="AG293" s="199"/>
      <c r="AH293" s="195"/>
    </row>
    <row r="294" spans="1:34" ht="15.75" thickBot="1" x14ac:dyDescent="0.3">
      <c r="A294" s="193"/>
      <c r="B294" s="204"/>
      <c r="C294" s="205"/>
      <c r="D294" s="194"/>
      <c r="E294" s="206"/>
      <c r="F294" s="205"/>
      <c r="G294" s="205"/>
      <c r="H294" s="207">
        <v>3</v>
      </c>
      <c r="I294" s="207">
        <v>2</v>
      </c>
      <c r="J294" s="205"/>
      <c r="K294" s="205"/>
      <c r="L294" s="205"/>
      <c r="M294" s="205"/>
      <c r="N294" s="205"/>
      <c r="O294" s="205"/>
      <c r="P294" s="205"/>
      <c r="Q294" s="208"/>
      <c r="R294" s="209"/>
      <c r="S294" s="210"/>
      <c r="T294" s="210"/>
      <c r="U294" s="211"/>
      <c r="V294" s="212"/>
      <c r="W294" s="204"/>
      <c r="X294" s="204"/>
      <c r="Y294" s="205"/>
      <c r="Z294" s="205"/>
      <c r="AA294" s="205"/>
      <c r="AB294" s="205"/>
      <c r="AC294" s="205"/>
      <c r="AD294" s="205"/>
      <c r="AE294" s="205"/>
      <c r="AF294" s="205"/>
      <c r="AG294" s="205"/>
      <c r="AH294" s="193"/>
    </row>
    <row r="295" spans="1:34" x14ac:dyDescent="0.25">
      <c r="A295" s="193"/>
      <c r="B295" s="490"/>
      <c r="C295" s="499" t="s">
        <v>265</v>
      </c>
      <c r="D295" s="490">
        <v>5</v>
      </c>
      <c r="E295" s="490">
        <v>0.625</v>
      </c>
      <c r="F295" s="490"/>
      <c r="G295" s="490">
        <f>G293</f>
        <v>254.04000000000002</v>
      </c>
      <c r="H295" s="490"/>
      <c r="I295" s="490">
        <v>2</v>
      </c>
      <c r="J295" s="490">
        <v>1</v>
      </c>
      <c r="K295" s="490"/>
      <c r="L295" s="490">
        <f>G293-2-2</f>
        <v>250.04000000000002</v>
      </c>
      <c r="M295" s="490"/>
      <c r="N295" s="490"/>
      <c r="O295" s="490"/>
      <c r="P295" s="490"/>
      <c r="Q295" s="490"/>
      <c r="R295" s="213"/>
      <c r="S295" s="502"/>
      <c r="T295" s="502"/>
      <c r="U295" s="214"/>
      <c r="V295" s="490">
        <f>SUM(R295:U299)</f>
        <v>20.83666666666667</v>
      </c>
      <c r="W295" s="490">
        <f>+SUM(K295:Q299)</f>
        <v>250.04000000000002</v>
      </c>
      <c r="X295" s="490">
        <f>(+I295*J295*W295)/12</f>
        <v>41.673333333333339</v>
      </c>
      <c r="Y295" s="490">
        <f>IF(Y$4=$D295,$X295*Y$5,0)</f>
        <v>0</v>
      </c>
      <c r="Z295" s="490">
        <f t="shared" ref="Z295:AF295" si="52">IF(Z$4=$D295,$X295*Z$5,0)</f>
        <v>0</v>
      </c>
      <c r="AA295" s="490">
        <f t="shared" si="52"/>
        <v>43.465286666666671</v>
      </c>
      <c r="AB295" s="490">
        <f t="shared" si="52"/>
        <v>0</v>
      </c>
      <c r="AC295" s="490">
        <f t="shared" si="52"/>
        <v>0</v>
      </c>
      <c r="AD295" s="490">
        <f t="shared" si="52"/>
        <v>0</v>
      </c>
      <c r="AE295" s="490">
        <f t="shared" si="52"/>
        <v>0</v>
      </c>
      <c r="AF295" s="490">
        <f t="shared" si="52"/>
        <v>0</v>
      </c>
      <c r="AG295" s="490"/>
      <c r="AH295" s="193"/>
    </row>
    <row r="296" spans="1:34" x14ac:dyDescent="0.25">
      <c r="A296" s="193"/>
      <c r="B296" s="491"/>
      <c r="C296" s="500"/>
      <c r="D296" s="491"/>
      <c r="E296" s="491"/>
      <c r="F296" s="491"/>
      <c r="G296" s="491"/>
      <c r="H296" s="491"/>
      <c r="I296" s="491"/>
      <c r="J296" s="491"/>
      <c r="K296" s="491"/>
      <c r="L296" s="491"/>
      <c r="M296" s="491"/>
      <c r="N296" s="491"/>
      <c r="O296" s="491"/>
      <c r="P296" s="491"/>
      <c r="Q296" s="491"/>
      <c r="R296" s="213"/>
      <c r="S296" s="215"/>
      <c r="T296" s="216"/>
      <c r="U296" s="214"/>
      <c r="V296" s="491"/>
      <c r="W296" s="491"/>
      <c r="X296" s="491"/>
      <c r="Y296" s="491"/>
      <c r="Z296" s="491"/>
      <c r="AA296" s="491"/>
      <c r="AB296" s="491"/>
      <c r="AC296" s="491"/>
      <c r="AD296" s="491"/>
      <c r="AE296" s="491"/>
      <c r="AF296" s="491"/>
      <c r="AG296" s="491"/>
      <c r="AH296" s="193"/>
    </row>
    <row r="297" spans="1:34" x14ac:dyDescent="0.25">
      <c r="A297" s="193"/>
      <c r="B297" s="491"/>
      <c r="C297" s="500"/>
      <c r="D297" s="491"/>
      <c r="E297" s="491"/>
      <c r="F297" s="491"/>
      <c r="G297" s="491"/>
      <c r="H297" s="491"/>
      <c r="I297" s="491"/>
      <c r="J297" s="491"/>
      <c r="K297" s="491"/>
      <c r="L297" s="491"/>
      <c r="M297" s="491"/>
      <c r="N297" s="491"/>
      <c r="O297" s="491"/>
      <c r="P297" s="491"/>
      <c r="Q297" s="491"/>
      <c r="R297" s="217"/>
      <c r="S297" s="218"/>
      <c r="T297" s="218"/>
      <c r="U297" s="219"/>
      <c r="V297" s="491"/>
      <c r="W297" s="491"/>
      <c r="X297" s="491"/>
      <c r="Y297" s="491"/>
      <c r="Z297" s="491"/>
      <c r="AA297" s="491"/>
      <c r="AB297" s="491"/>
      <c r="AC297" s="491"/>
      <c r="AD297" s="491"/>
      <c r="AE297" s="491"/>
      <c r="AF297" s="491"/>
      <c r="AG297" s="491"/>
      <c r="AH297" s="193"/>
    </row>
    <row r="298" spans="1:34" ht="15.75" thickBot="1" x14ac:dyDescent="0.3">
      <c r="A298" s="193"/>
      <c r="B298" s="491"/>
      <c r="C298" s="500"/>
      <c r="D298" s="491"/>
      <c r="E298" s="491"/>
      <c r="F298" s="491"/>
      <c r="G298" s="491"/>
      <c r="H298" s="491"/>
      <c r="I298" s="491"/>
      <c r="J298" s="491"/>
      <c r="K298" s="491"/>
      <c r="L298" s="491"/>
      <c r="M298" s="491"/>
      <c r="N298" s="491"/>
      <c r="O298" s="491"/>
      <c r="P298" s="491"/>
      <c r="Q298" s="491"/>
      <c r="R298" s="213"/>
      <c r="S298" s="220"/>
      <c r="T298" s="220"/>
      <c r="U298" s="214"/>
      <c r="V298" s="491"/>
      <c r="W298" s="491"/>
      <c r="X298" s="491"/>
      <c r="Y298" s="491"/>
      <c r="Z298" s="491"/>
      <c r="AA298" s="491"/>
      <c r="AB298" s="491"/>
      <c r="AC298" s="491"/>
      <c r="AD298" s="491"/>
      <c r="AE298" s="491"/>
      <c r="AF298" s="491"/>
      <c r="AG298" s="491"/>
      <c r="AH298" s="193"/>
    </row>
    <row r="299" spans="1:34" x14ac:dyDescent="0.25">
      <c r="A299" s="193"/>
      <c r="B299" s="492"/>
      <c r="C299" s="501"/>
      <c r="D299" s="492"/>
      <c r="E299" s="492"/>
      <c r="F299" s="492"/>
      <c r="G299" s="492"/>
      <c r="H299" s="492"/>
      <c r="I299" s="492"/>
      <c r="J299" s="492"/>
      <c r="K299" s="492"/>
      <c r="L299" s="492"/>
      <c r="M299" s="492"/>
      <c r="N299" s="492"/>
      <c r="O299" s="492"/>
      <c r="P299" s="492"/>
      <c r="Q299" s="492"/>
      <c r="R299" s="221"/>
      <c r="S299" s="493">
        <f>L295/12</f>
        <v>20.83666666666667</v>
      </c>
      <c r="T299" s="493"/>
      <c r="U299" s="222"/>
      <c r="V299" s="492"/>
      <c r="W299" s="492"/>
      <c r="X299" s="492"/>
      <c r="Y299" s="492"/>
      <c r="Z299" s="492"/>
      <c r="AA299" s="492"/>
      <c r="AB299" s="492"/>
      <c r="AC299" s="492"/>
      <c r="AD299" s="492"/>
      <c r="AE299" s="492"/>
      <c r="AF299" s="492"/>
      <c r="AG299" s="492"/>
      <c r="AH299" s="193"/>
    </row>
    <row r="300" spans="1:34" x14ac:dyDescent="0.25">
      <c r="A300" s="193"/>
      <c r="B300" s="490"/>
      <c r="C300" s="499" t="s">
        <v>271</v>
      </c>
      <c r="D300" s="490">
        <v>5</v>
      </c>
      <c r="E300" s="490">
        <v>0.625</v>
      </c>
      <c r="F300" s="490"/>
      <c r="G300" s="490"/>
      <c r="H300" s="490"/>
      <c r="I300" s="490">
        <v>2</v>
      </c>
      <c r="J300" s="490">
        <v>2</v>
      </c>
      <c r="K300" s="490">
        <v>30</v>
      </c>
      <c r="L300" s="490">
        <v>30</v>
      </c>
      <c r="M300" s="490"/>
      <c r="N300" s="490"/>
      <c r="O300" s="490"/>
      <c r="P300" s="490"/>
      <c r="Q300" s="490"/>
      <c r="R300" s="213"/>
      <c r="S300" s="498"/>
      <c r="T300" s="498"/>
      <c r="U300" s="214"/>
      <c r="V300" s="490">
        <f>SUM(R300:U304)</f>
        <v>5</v>
      </c>
      <c r="W300" s="490">
        <f>+SUM(K300:Q304)</f>
        <v>60</v>
      </c>
      <c r="X300" s="490">
        <f>(+I300*J300*W300)/12</f>
        <v>20</v>
      </c>
      <c r="Y300" s="490">
        <f t="shared" ref="Y300:AF300" si="53">IF(Y$4=$D300,$X300*Y$5,0)</f>
        <v>0</v>
      </c>
      <c r="Z300" s="490">
        <f t="shared" si="53"/>
        <v>0</v>
      </c>
      <c r="AA300" s="490">
        <f t="shared" si="53"/>
        <v>20.86</v>
      </c>
      <c r="AB300" s="490">
        <f t="shared" si="53"/>
        <v>0</v>
      </c>
      <c r="AC300" s="490">
        <f t="shared" si="53"/>
        <v>0</v>
      </c>
      <c r="AD300" s="490">
        <f t="shared" si="53"/>
        <v>0</v>
      </c>
      <c r="AE300" s="490">
        <f t="shared" si="53"/>
        <v>0</v>
      </c>
      <c r="AF300" s="490">
        <f t="shared" si="53"/>
        <v>0</v>
      </c>
      <c r="AG300" s="490"/>
      <c r="AH300" s="193"/>
    </row>
    <row r="301" spans="1:34" x14ac:dyDescent="0.25">
      <c r="A301" s="193"/>
      <c r="B301" s="491"/>
      <c r="C301" s="500"/>
      <c r="D301" s="491"/>
      <c r="E301" s="491"/>
      <c r="F301" s="491"/>
      <c r="G301" s="491"/>
      <c r="H301" s="491"/>
      <c r="I301" s="491"/>
      <c r="J301" s="491"/>
      <c r="K301" s="491"/>
      <c r="L301" s="491"/>
      <c r="M301" s="491"/>
      <c r="N301" s="491"/>
      <c r="O301" s="491"/>
      <c r="P301" s="491"/>
      <c r="Q301" s="491"/>
      <c r="R301" s="213"/>
      <c r="S301" s="215"/>
      <c r="T301" s="216"/>
      <c r="U301" s="214"/>
      <c r="V301" s="491"/>
      <c r="W301" s="491"/>
      <c r="X301" s="491"/>
      <c r="Y301" s="491"/>
      <c r="Z301" s="491"/>
      <c r="AA301" s="491"/>
      <c r="AB301" s="491"/>
      <c r="AC301" s="491"/>
      <c r="AD301" s="491"/>
      <c r="AE301" s="491"/>
      <c r="AF301" s="491"/>
      <c r="AG301" s="491"/>
      <c r="AH301" s="193"/>
    </row>
    <row r="302" spans="1:34" x14ac:dyDescent="0.25">
      <c r="A302" s="193"/>
      <c r="B302" s="491"/>
      <c r="C302" s="500"/>
      <c r="D302" s="491"/>
      <c r="E302" s="491"/>
      <c r="F302" s="491"/>
      <c r="G302" s="491"/>
      <c r="H302" s="491"/>
      <c r="I302" s="491"/>
      <c r="J302" s="491"/>
      <c r="K302" s="491"/>
      <c r="L302" s="491"/>
      <c r="M302" s="491"/>
      <c r="N302" s="491"/>
      <c r="O302" s="491"/>
      <c r="P302" s="491"/>
      <c r="Q302" s="491"/>
      <c r="R302" s="217">
        <f>K300/12</f>
        <v>2.5</v>
      </c>
      <c r="S302" s="223"/>
      <c r="T302" s="195"/>
      <c r="U302" s="219"/>
      <c r="V302" s="491"/>
      <c r="W302" s="491"/>
      <c r="X302" s="491"/>
      <c r="Y302" s="491"/>
      <c r="Z302" s="491"/>
      <c r="AA302" s="491"/>
      <c r="AB302" s="491"/>
      <c r="AC302" s="491"/>
      <c r="AD302" s="491"/>
      <c r="AE302" s="491"/>
      <c r="AF302" s="491"/>
      <c r="AG302" s="491"/>
      <c r="AH302" s="193"/>
    </row>
    <row r="303" spans="1:34" ht="15.75" thickBot="1" x14ac:dyDescent="0.3">
      <c r="A303" s="193"/>
      <c r="B303" s="491"/>
      <c r="C303" s="500"/>
      <c r="D303" s="491"/>
      <c r="E303" s="491"/>
      <c r="F303" s="491"/>
      <c r="G303" s="491"/>
      <c r="H303" s="491"/>
      <c r="I303" s="491"/>
      <c r="J303" s="491"/>
      <c r="K303" s="491"/>
      <c r="L303" s="491"/>
      <c r="M303" s="491"/>
      <c r="N303" s="491"/>
      <c r="O303" s="491"/>
      <c r="P303" s="491"/>
      <c r="Q303" s="491"/>
      <c r="R303" s="213"/>
      <c r="S303" s="224"/>
      <c r="T303" s="220"/>
      <c r="U303" s="214"/>
      <c r="V303" s="491"/>
      <c r="W303" s="491"/>
      <c r="X303" s="491"/>
      <c r="Y303" s="491"/>
      <c r="Z303" s="491"/>
      <c r="AA303" s="491"/>
      <c r="AB303" s="491"/>
      <c r="AC303" s="491"/>
      <c r="AD303" s="491"/>
      <c r="AE303" s="491"/>
      <c r="AF303" s="491"/>
      <c r="AG303" s="491"/>
      <c r="AH303" s="193"/>
    </row>
    <row r="304" spans="1:34" x14ac:dyDescent="0.25">
      <c r="A304" s="193"/>
      <c r="B304" s="492"/>
      <c r="C304" s="501"/>
      <c r="D304" s="492"/>
      <c r="E304" s="492"/>
      <c r="F304" s="492"/>
      <c r="G304" s="492"/>
      <c r="H304" s="492"/>
      <c r="I304" s="492"/>
      <c r="J304" s="492"/>
      <c r="K304" s="492"/>
      <c r="L304" s="492"/>
      <c r="M304" s="492"/>
      <c r="N304" s="492"/>
      <c r="O304" s="492"/>
      <c r="P304" s="492"/>
      <c r="Q304" s="492"/>
      <c r="R304" s="221"/>
      <c r="S304" s="493">
        <f>L300/12</f>
        <v>2.5</v>
      </c>
      <c r="T304" s="493"/>
      <c r="U304" s="222"/>
      <c r="V304" s="492"/>
      <c r="W304" s="492"/>
      <c r="X304" s="492"/>
      <c r="Y304" s="492"/>
      <c r="Z304" s="492"/>
      <c r="AA304" s="492"/>
      <c r="AB304" s="492"/>
      <c r="AC304" s="492"/>
      <c r="AD304" s="492"/>
      <c r="AE304" s="492"/>
      <c r="AF304" s="492"/>
      <c r="AG304" s="492"/>
      <c r="AH304" s="193"/>
    </row>
    <row r="305" spans="1:34" x14ac:dyDescent="0.25">
      <c r="A305" s="193"/>
      <c r="B305" s="490"/>
      <c r="C305" s="490" t="s">
        <v>277</v>
      </c>
      <c r="D305" s="490">
        <v>5</v>
      </c>
      <c r="E305" s="490">
        <v>0.625</v>
      </c>
      <c r="F305" s="494">
        <v>16</v>
      </c>
      <c r="G305" s="229"/>
      <c r="H305" s="490"/>
      <c r="I305" s="490">
        <f>ROUNDUP(G295/F305,0)</f>
        <v>16</v>
      </c>
      <c r="J305" s="490">
        <v>1</v>
      </c>
      <c r="K305" s="490">
        <v>6</v>
      </c>
      <c r="L305" s="490">
        <f>4*12-2</f>
        <v>46</v>
      </c>
      <c r="M305" s="490">
        <f>11*12</f>
        <v>132</v>
      </c>
      <c r="N305" s="490"/>
      <c r="O305" s="490"/>
      <c r="P305" s="490"/>
      <c r="Q305" s="490"/>
      <c r="R305" s="213"/>
      <c r="S305" s="498"/>
      <c r="T305" s="498"/>
      <c r="U305" s="214"/>
      <c r="V305" s="490">
        <f>SUM(R305:U309)</f>
        <v>15.333333333333334</v>
      </c>
      <c r="W305" s="490">
        <f>+SUM(K305:Q309)</f>
        <v>184</v>
      </c>
      <c r="X305" s="490">
        <f>(+I305*J305*W305)/12</f>
        <v>245.33333333333334</v>
      </c>
      <c r="Y305" s="490">
        <f t="shared" ref="Y305:AF305" si="54">IF(Y$4=$D305,$X305*Y$5,0)</f>
        <v>0</v>
      </c>
      <c r="Z305" s="490">
        <f t="shared" si="54"/>
        <v>0</v>
      </c>
      <c r="AA305" s="490">
        <f t="shared" si="54"/>
        <v>255.88266666666667</v>
      </c>
      <c r="AB305" s="490">
        <f t="shared" si="54"/>
        <v>0</v>
      </c>
      <c r="AC305" s="490">
        <f t="shared" si="54"/>
        <v>0</v>
      </c>
      <c r="AD305" s="490">
        <f t="shared" si="54"/>
        <v>0</v>
      </c>
      <c r="AE305" s="490">
        <f t="shared" si="54"/>
        <v>0</v>
      </c>
      <c r="AF305" s="490">
        <f t="shared" si="54"/>
        <v>0</v>
      </c>
      <c r="AG305" s="490"/>
      <c r="AH305" s="193"/>
    </row>
    <row r="306" spans="1:34" x14ac:dyDescent="0.25">
      <c r="A306" s="193"/>
      <c r="B306" s="491"/>
      <c r="C306" s="491"/>
      <c r="D306" s="491"/>
      <c r="E306" s="491"/>
      <c r="F306" s="495"/>
      <c r="G306" s="230"/>
      <c r="H306" s="491"/>
      <c r="I306" s="491"/>
      <c r="J306" s="491"/>
      <c r="K306" s="491"/>
      <c r="L306" s="491"/>
      <c r="M306" s="491"/>
      <c r="N306" s="491"/>
      <c r="O306" s="491"/>
      <c r="P306" s="491"/>
      <c r="Q306" s="491"/>
      <c r="R306" s="213"/>
      <c r="S306" s="215"/>
      <c r="T306" s="216"/>
      <c r="U306" s="214"/>
      <c r="V306" s="491"/>
      <c r="W306" s="491"/>
      <c r="X306" s="491"/>
      <c r="Y306" s="491"/>
      <c r="Z306" s="491"/>
      <c r="AA306" s="491"/>
      <c r="AB306" s="491"/>
      <c r="AC306" s="491"/>
      <c r="AD306" s="491"/>
      <c r="AE306" s="491"/>
      <c r="AF306" s="491"/>
      <c r="AG306" s="491"/>
      <c r="AH306" s="193"/>
    </row>
    <row r="307" spans="1:34" x14ac:dyDescent="0.25">
      <c r="A307" s="193"/>
      <c r="B307" s="491"/>
      <c r="C307" s="491"/>
      <c r="D307" s="491"/>
      <c r="E307" s="491"/>
      <c r="F307" s="495"/>
      <c r="G307" s="230"/>
      <c r="H307" s="491"/>
      <c r="I307" s="491"/>
      <c r="J307" s="491"/>
      <c r="K307" s="491"/>
      <c r="L307" s="491"/>
      <c r="M307" s="491"/>
      <c r="N307" s="491"/>
      <c r="O307" s="491"/>
      <c r="P307" s="491"/>
      <c r="Q307" s="491"/>
      <c r="R307" s="225">
        <f>K305/12</f>
        <v>0.5</v>
      </c>
      <c r="S307" s="218"/>
      <c r="T307" s="218"/>
      <c r="U307" s="219"/>
      <c r="V307" s="491"/>
      <c r="W307" s="491"/>
      <c r="X307" s="491"/>
      <c r="Y307" s="491"/>
      <c r="Z307" s="491"/>
      <c r="AA307" s="491"/>
      <c r="AB307" s="491"/>
      <c r="AC307" s="491"/>
      <c r="AD307" s="491"/>
      <c r="AE307" s="491"/>
      <c r="AF307" s="491"/>
      <c r="AG307" s="491"/>
      <c r="AH307" s="193"/>
    </row>
    <row r="308" spans="1:34" ht="15.75" thickBot="1" x14ac:dyDescent="0.3">
      <c r="A308" s="193"/>
      <c r="B308" s="491"/>
      <c r="C308" s="491"/>
      <c r="D308" s="491"/>
      <c r="E308" s="491"/>
      <c r="F308" s="495"/>
      <c r="G308" s="230"/>
      <c r="H308" s="491"/>
      <c r="I308" s="491"/>
      <c r="J308" s="491"/>
      <c r="K308" s="491"/>
      <c r="L308" s="491"/>
      <c r="M308" s="491"/>
      <c r="N308" s="491"/>
      <c r="O308" s="491"/>
      <c r="P308" s="491"/>
      <c r="Q308" s="491"/>
      <c r="R308" s="226"/>
      <c r="S308" s="220"/>
      <c r="T308" s="220"/>
      <c r="U308" s="214"/>
      <c r="V308" s="491"/>
      <c r="W308" s="491"/>
      <c r="X308" s="491"/>
      <c r="Y308" s="491"/>
      <c r="Z308" s="491"/>
      <c r="AA308" s="491"/>
      <c r="AB308" s="491"/>
      <c r="AC308" s="491"/>
      <c r="AD308" s="491"/>
      <c r="AE308" s="491"/>
      <c r="AF308" s="491"/>
      <c r="AG308" s="491"/>
      <c r="AH308" s="193"/>
    </row>
    <row r="309" spans="1:34" x14ac:dyDescent="0.25">
      <c r="A309" s="193"/>
      <c r="B309" s="492"/>
      <c r="C309" s="492"/>
      <c r="D309" s="491"/>
      <c r="E309" s="491"/>
      <c r="F309" s="496"/>
      <c r="G309" s="231"/>
      <c r="H309" s="492"/>
      <c r="I309" s="492"/>
      <c r="J309" s="492"/>
      <c r="K309" s="492"/>
      <c r="L309" s="492"/>
      <c r="M309" s="492"/>
      <c r="N309" s="492"/>
      <c r="O309" s="492"/>
      <c r="P309" s="492"/>
      <c r="Q309" s="492"/>
      <c r="R309" s="221"/>
      <c r="S309" s="493">
        <f>+SUM(L305:M309)/12</f>
        <v>14.833333333333334</v>
      </c>
      <c r="T309" s="493"/>
      <c r="U309" s="222"/>
      <c r="V309" s="492"/>
      <c r="W309" s="492"/>
      <c r="X309" s="492"/>
      <c r="Y309" s="492"/>
      <c r="Z309" s="492"/>
      <c r="AA309" s="492"/>
      <c r="AB309" s="492"/>
      <c r="AC309" s="492"/>
      <c r="AD309" s="492"/>
      <c r="AE309" s="492"/>
      <c r="AF309" s="492"/>
      <c r="AG309" s="492"/>
      <c r="AH309" s="193"/>
    </row>
    <row r="310" spans="1:34" x14ac:dyDescent="0.25">
      <c r="A310" s="193"/>
      <c r="B310" s="490"/>
      <c r="C310" s="490" t="s">
        <v>286</v>
      </c>
      <c r="D310" s="490">
        <v>5</v>
      </c>
      <c r="E310" s="490">
        <v>0.625</v>
      </c>
      <c r="F310" s="494">
        <v>16</v>
      </c>
      <c r="G310" s="229"/>
      <c r="H310" s="490"/>
      <c r="I310" s="490">
        <f>ROUNDUP(M305/F310,0)</f>
        <v>9</v>
      </c>
      <c r="J310" s="490">
        <v>1</v>
      </c>
      <c r="K310" s="490"/>
      <c r="L310" s="490">
        <f>G293-2-2</f>
        <v>250.04000000000002</v>
      </c>
      <c r="M310" s="490"/>
      <c r="N310" s="490"/>
      <c r="O310" s="490"/>
      <c r="P310" s="490"/>
      <c r="Q310" s="490"/>
      <c r="R310" s="213"/>
      <c r="S310" s="498"/>
      <c r="T310" s="498"/>
      <c r="U310" s="214"/>
      <c r="V310" s="490">
        <f>SUM(R310:U314)</f>
        <v>20.83666666666667</v>
      </c>
      <c r="W310" s="490">
        <f>+SUM(K310:Q314)</f>
        <v>250.04000000000002</v>
      </c>
      <c r="X310" s="490">
        <f>(+I310*J310*W310)/12</f>
        <v>187.53</v>
      </c>
      <c r="Y310" s="490">
        <f t="shared" ref="Y310:AF310" si="55">IF(Y$4=$D310,$X310*Y$5,0)</f>
        <v>0</v>
      </c>
      <c r="Z310" s="490">
        <f t="shared" si="55"/>
        <v>0</v>
      </c>
      <c r="AA310" s="490">
        <f t="shared" si="55"/>
        <v>195.59378999999998</v>
      </c>
      <c r="AB310" s="490">
        <f t="shared" si="55"/>
        <v>0</v>
      </c>
      <c r="AC310" s="490">
        <f t="shared" si="55"/>
        <v>0</v>
      </c>
      <c r="AD310" s="490">
        <f t="shared" si="55"/>
        <v>0</v>
      </c>
      <c r="AE310" s="490">
        <f t="shared" si="55"/>
        <v>0</v>
      </c>
      <c r="AF310" s="490">
        <f t="shared" si="55"/>
        <v>0</v>
      </c>
      <c r="AG310" s="490"/>
      <c r="AH310" s="193"/>
    </row>
    <row r="311" spans="1:34" x14ac:dyDescent="0.25">
      <c r="A311" s="193"/>
      <c r="B311" s="491"/>
      <c r="C311" s="491"/>
      <c r="D311" s="491"/>
      <c r="E311" s="491"/>
      <c r="F311" s="495"/>
      <c r="G311" s="230"/>
      <c r="H311" s="491"/>
      <c r="I311" s="491"/>
      <c r="J311" s="491"/>
      <c r="K311" s="491"/>
      <c r="L311" s="491"/>
      <c r="M311" s="491"/>
      <c r="N311" s="491"/>
      <c r="O311" s="491"/>
      <c r="P311" s="491"/>
      <c r="Q311" s="491"/>
      <c r="R311" s="213"/>
      <c r="S311" s="215"/>
      <c r="T311" s="216"/>
      <c r="U311" s="214"/>
      <c r="V311" s="491"/>
      <c r="W311" s="491"/>
      <c r="X311" s="491"/>
      <c r="Y311" s="491"/>
      <c r="Z311" s="491"/>
      <c r="AA311" s="491"/>
      <c r="AB311" s="491"/>
      <c r="AC311" s="491"/>
      <c r="AD311" s="491"/>
      <c r="AE311" s="491"/>
      <c r="AF311" s="491"/>
      <c r="AG311" s="491"/>
      <c r="AH311" s="193"/>
    </row>
    <row r="312" spans="1:34" x14ac:dyDescent="0.25">
      <c r="A312" s="193"/>
      <c r="B312" s="491"/>
      <c r="C312" s="491"/>
      <c r="D312" s="491"/>
      <c r="E312" s="491"/>
      <c r="F312" s="495"/>
      <c r="G312" s="230"/>
      <c r="H312" s="491"/>
      <c r="I312" s="491"/>
      <c r="J312" s="491"/>
      <c r="K312" s="491"/>
      <c r="L312" s="491"/>
      <c r="M312" s="491"/>
      <c r="N312" s="491"/>
      <c r="O312" s="491"/>
      <c r="P312" s="491"/>
      <c r="Q312" s="497"/>
      <c r="R312" s="217"/>
      <c r="S312" s="218"/>
      <c r="T312" s="218"/>
      <c r="U312" s="219"/>
      <c r="V312" s="491"/>
      <c r="W312" s="491"/>
      <c r="X312" s="491"/>
      <c r="Y312" s="491"/>
      <c r="Z312" s="491"/>
      <c r="AA312" s="491"/>
      <c r="AB312" s="491"/>
      <c r="AC312" s="491"/>
      <c r="AD312" s="491"/>
      <c r="AE312" s="491"/>
      <c r="AF312" s="491"/>
      <c r="AG312" s="491"/>
      <c r="AH312" s="193"/>
    </row>
    <row r="313" spans="1:34" ht="15.75" thickBot="1" x14ac:dyDescent="0.3">
      <c r="A313" s="193"/>
      <c r="B313" s="491"/>
      <c r="C313" s="491"/>
      <c r="D313" s="491"/>
      <c r="E313" s="491"/>
      <c r="F313" s="495"/>
      <c r="G313" s="230"/>
      <c r="H313" s="491"/>
      <c r="I313" s="491"/>
      <c r="J313" s="491"/>
      <c r="K313" s="491"/>
      <c r="L313" s="491"/>
      <c r="M313" s="491"/>
      <c r="N313" s="491"/>
      <c r="O313" s="491"/>
      <c r="P313" s="491"/>
      <c r="Q313" s="497"/>
      <c r="R313" s="213"/>
      <c r="S313" s="220"/>
      <c r="T313" s="220"/>
      <c r="U313" s="214"/>
      <c r="V313" s="491"/>
      <c r="W313" s="491"/>
      <c r="X313" s="491"/>
      <c r="Y313" s="491"/>
      <c r="Z313" s="491"/>
      <c r="AA313" s="491"/>
      <c r="AB313" s="491"/>
      <c r="AC313" s="491"/>
      <c r="AD313" s="491"/>
      <c r="AE313" s="491"/>
      <c r="AF313" s="491"/>
      <c r="AG313" s="491"/>
      <c r="AH313" s="193"/>
    </row>
    <row r="314" spans="1:34" x14ac:dyDescent="0.25">
      <c r="A314" s="193"/>
      <c r="B314" s="492"/>
      <c r="C314" s="492"/>
      <c r="D314" s="491"/>
      <c r="E314" s="491"/>
      <c r="F314" s="496"/>
      <c r="G314" s="231"/>
      <c r="H314" s="492"/>
      <c r="I314" s="492"/>
      <c r="J314" s="492"/>
      <c r="K314" s="492"/>
      <c r="L314" s="492"/>
      <c r="M314" s="492"/>
      <c r="N314" s="492"/>
      <c r="O314" s="492"/>
      <c r="P314" s="492"/>
      <c r="Q314" s="492"/>
      <c r="R314" s="221"/>
      <c r="S314" s="493">
        <f>L310/12</f>
        <v>20.83666666666667</v>
      </c>
      <c r="T314" s="493"/>
      <c r="U314" s="222"/>
      <c r="V314" s="492"/>
      <c r="W314" s="492"/>
      <c r="X314" s="492"/>
      <c r="Y314" s="492"/>
      <c r="Z314" s="492"/>
      <c r="AA314" s="492"/>
      <c r="AB314" s="492"/>
      <c r="AC314" s="492"/>
      <c r="AD314" s="492"/>
      <c r="AE314" s="492"/>
      <c r="AF314" s="492"/>
      <c r="AG314" s="492"/>
      <c r="AH314" s="193"/>
    </row>
    <row r="315" spans="1:34" ht="15.75" thickBot="1" x14ac:dyDescent="0.3">
      <c r="A315" s="195"/>
      <c r="B315" s="200" t="s">
        <v>299</v>
      </c>
      <c r="C315" s="199" t="s">
        <v>283</v>
      </c>
      <c r="D315" s="197">
        <v>60</v>
      </c>
      <c r="E315" s="201">
        <v>8</v>
      </c>
      <c r="F315" s="202"/>
      <c r="G315" s="202">
        <f>9.17*12</f>
        <v>110.03999999999999</v>
      </c>
      <c r="H315" s="202">
        <v>16</v>
      </c>
      <c r="I315" s="202">
        <v>12</v>
      </c>
      <c r="J315" s="202">
        <v>12</v>
      </c>
      <c r="K315" s="199"/>
      <c r="L315" s="199"/>
      <c r="M315" s="199"/>
      <c r="N315" s="199"/>
      <c r="O315" s="199"/>
      <c r="P315" s="199"/>
      <c r="Q315" s="198"/>
      <c r="R315" s="196"/>
      <c r="S315" s="196"/>
      <c r="T315" s="196"/>
      <c r="U315" s="196"/>
      <c r="V315" s="203"/>
      <c r="W315" s="202"/>
      <c r="X315" s="202"/>
      <c r="Y315" s="199"/>
      <c r="Z315" s="199"/>
      <c r="AA315" s="199"/>
      <c r="AB315" s="199"/>
      <c r="AC315" s="199"/>
      <c r="AD315" s="199"/>
      <c r="AE315" s="199"/>
      <c r="AF315" s="199"/>
      <c r="AG315" s="199"/>
      <c r="AH315" s="195"/>
    </row>
    <row r="316" spans="1:34" ht="15.75" thickBot="1" x14ac:dyDescent="0.3">
      <c r="A316" s="193"/>
      <c r="B316" s="204"/>
      <c r="C316" s="205"/>
      <c r="D316" s="194"/>
      <c r="E316" s="206"/>
      <c r="F316" s="205"/>
      <c r="G316" s="205"/>
      <c r="H316" s="207">
        <v>3</v>
      </c>
      <c r="I316" s="207">
        <v>2</v>
      </c>
      <c r="J316" s="205"/>
      <c r="K316" s="205"/>
      <c r="L316" s="205"/>
      <c r="M316" s="205"/>
      <c r="N316" s="205"/>
      <c r="O316" s="205"/>
      <c r="P316" s="205"/>
      <c r="Q316" s="208"/>
      <c r="R316" s="209"/>
      <c r="S316" s="210"/>
      <c r="T316" s="210"/>
      <c r="U316" s="211"/>
      <c r="V316" s="212"/>
      <c r="W316" s="204"/>
      <c r="X316" s="204"/>
      <c r="Y316" s="205"/>
      <c r="Z316" s="205"/>
      <c r="AA316" s="205"/>
      <c r="AB316" s="205"/>
      <c r="AC316" s="205"/>
      <c r="AD316" s="205"/>
      <c r="AE316" s="205"/>
      <c r="AF316" s="205"/>
      <c r="AG316" s="205"/>
      <c r="AH316" s="193"/>
    </row>
    <row r="317" spans="1:34" x14ac:dyDescent="0.25">
      <c r="A317" s="193"/>
      <c r="B317" s="490"/>
      <c r="C317" s="499" t="s">
        <v>265</v>
      </c>
      <c r="D317" s="490">
        <v>5</v>
      </c>
      <c r="E317" s="490">
        <v>0.625</v>
      </c>
      <c r="F317" s="490"/>
      <c r="G317" s="490">
        <f>G315</f>
        <v>110.03999999999999</v>
      </c>
      <c r="H317" s="490"/>
      <c r="I317" s="490">
        <v>2</v>
      </c>
      <c r="J317" s="490">
        <v>1</v>
      </c>
      <c r="K317" s="490"/>
      <c r="L317" s="490">
        <f>G315-2-2</f>
        <v>106.03999999999999</v>
      </c>
      <c r="M317" s="490"/>
      <c r="N317" s="490"/>
      <c r="O317" s="490"/>
      <c r="P317" s="490"/>
      <c r="Q317" s="490"/>
      <c r="R317" s="213"/>
      <c r="S317" s="502"/>
      <c r="T317" s="502"/>
      <c r="U317" s="214"/>
      <c r="V317" s="490">
        <f>SUM(R317:U321)</f>
        <v>8.836666666666666</v>
      </c>
      <c r="W317" s="490">
        <f>+SUM(K317:Q321)</f>
        <v>106.03999999999999</v>
      </c>
      <c r="X317" s="490">
        <f>(+I317*J317*W317)/12</f>
        <v>17.673333333333332</v>
      </c>
      <c r="Y317" s="490">
        <f>IF(Y$4=$D317,$X317*Y$5,0)</f>
        <v>0</v>
      </c>
      <c r="Z317" s="490">
        <f t="shared" ref="Z317:AF317" si="56">IF(Z$4=$D317,$X317*Z$5,0)</f>
        <v>0</v>
      </c>
      <c r="AA317" s="490">
        <f t="shared" si="56"/>
        <v>18.433286666666664</v>
      </c>
      <c r="AB317" s="490">
        <f t="shared" si="56"/>
        <v>0</v>
      </c>
      <c r="AC317" s="490">
        <f t="shared" si="56"/>
        <v>0</v>
      </c>
      <c r="AD317" s="490">
        <f t="shared" si="56"/>
        <v>0</v>
      </c>
      <c r="AE317" s="490">
        <f t="shared" si="56"/>
        <v>0</v>
      </c>
      <c r="AF317" s="490">
        <f t="shared" si="56"/>
        <v>0</v>
      </c>
      <c r="AG317" s="490"/>
      <c r="AH317" s="193"/>
    </row>
    <row r="318" spans="1:34" x14ac:dyDescent="0.25">
      <c r="A318" s="193"/>
      <c r="B318" s="491"/>
      <c r="C318" s="500"/>
      <c r="D318" s="491"/>
      <c r="E318" s="491"/>
      <c r="F318" s="491"/>
      <c r="G318" s="491"/>
      <c r="H318" s="491"/>
      <c r="I318" s="491"/>
      <c r="J318" s="491"/>
      <c r="K318" s="491"/>
      <c r="L318" s="491"/>
      <c r="M318" s="491"/>
      <c r="N318" s="491"/>
      <c r="O318" s="491"/>
      <c r="P318" s="491"/>
      <c r="Q318" s="491"/>
      <c r="R318" s="213"/>
      <c r="S318" s="215"/>
      <c r="T318" s="216"/>
      <c r="U318" s="214"/>
      <c r="V318" s="491"/>
      <c r="W318" s="491"/>
      <c r="X318" s="491"/>
      <c r="Y318" s="491"/>
      <c r="Z318" s="491"/>
      <c r="AA318" s="491"/>
      <c r="AB318" s="491"/>
      <c r="AC318" s="491"/>
      <c r="AD318" s="491"/>
      <c r="AE318" s="491"/>
      <c r="AF318" s="491"/>
      <c r="AG318" s="491"/>
      <c r="AH318" s="193"/>
    </row>
    <row r="319" spans="1:34" x14ac:dyDescent="0.25">
      <c r="A319" s="193"/>
      <c r="B319" s="491"/>
      <c r="C319" s="500"/>
      <c r="D319" s="491"/>
      <c r="E319" s="491"/>
      <c r="F319" s="491"/>
      <c r="G319" s="491"/>
      <c r="H319" s="491"/>
      <c r="I319" s="491"/>
      <c r="J319" s="491"/>
      <c r="K319" s="491"/>
      <c r="L319" s="491"/>
      <c r="M319" s="491"/>
      <c r="N319" s="491"/>
      <c r="O319" s="491"/>
      <c r="P319" s="491"/>
      <c r="Q319" s="491"/>
      <c r="R319" s="217"/>
      <c r="S319" s="218"/>
      <c r="T319" s="218"/>
      <c r="U319" s="219"/>
      <c r="V319" s="491"/>
      <c r="W319" s="491"/>
      <c r="X319" s="491"/>
      <c r="Y319" s="491"/>
      <c r="Z319" s="491"/>
      <c r="AA319" s="491"/>
      <c r="AB319" s="491"/>
      <c r="AC319" s="491"/>
      <c r="AD319" s="491"/>
      <c r="AE319" s="491"/>
      <c r="AF319" s="491"/>
      <c r="AG319" s="491"/>
      <c r="AH319" s="193"/>
    </row>
    <row r="320" spans="1:34" ht="15.75" thickBot="1" x14ac:dyDescent="0.3">
      <c r="A320" s="193"/>
      <c r="B320" s="491"/>
      <c r="C320" s="500"/>
      <c r="D320" s="491"/>
      <c r="E320" s="491"/>
      <c r="F320" s="491"/>
      <c r="G320" s="491"/>
      <c r="H320" s="491"/>
      <c r="I320" s="491"/>
      <c r="J320" s="491"/>
      <c r="K320" s="491"/>
      <c r="L320" s="491"/>
      <c r="M320" s="491"/>
      <c r="N320" s="491"/>
      <c r="O320" s="491"/>
      <c r="P320" s="491"/>
      <c r="Q320" s="491"/>
      <c r="R320" s="213"/>
      <c r="S320" s="220"/>
      <c r="T320" s="220"/>
      <c r="U320" s="214"/>
      <c r="V320" s="491"/>
      <c r="W320" s="491"/>
      <c r="X320" s="491"/>
      <c r="Y320" s="491"/>
      <c r="Z320" s="491"/>
      <c r="AA320" s="491"/>
      <c r="AB320" s="491"/>
      <c r="AC320" s="491"/>
      <c r="AD320" s="491"/>
      <c r="AE320" s="491"/>
      <c r="AF320" s="491"/>
      <c r="AG320" s="491"/>
      <c r="AH320" s="193"/>
    </row>
    <row r="321" spans="1:34" x14ac:dyDescent="0.25">
      <c r="A321" s="193"/>
      <c r="B321" s="492"/>
      <c r="C321" s="501"/>
      <c r="D321" s="492"/>
      <c r="E321" s="492"/>
      <c r="F321" s="492"/>
      <c r="G321" s="492"/>
      <c r="H321" s="492"/>
      <c r="I321" s="492"/>
      <c r="J321" s="492"/>
      <c r="K321" s="492"/>
      <c r="L321" s="492"/>
      <c r="M321" s="492"/>
      <c r="N321" s="492"/>
      <c r="O321" s="492"/>
      <c r="P321" s="492"/>
      <c r="Q321" s="492"/>
      <c r="R321" s="221"/>
      <c r="S321" s="493">
        <f>L317/12</f>
        <v>8.836666666666666</v>
      </c>
      <c r="T321" s="493"/>
      <c r="U321" s="222"/>
      <c r="V321" s="492"/>
      <c r="W321" s="492"/>
      <c r="X321" s="492"/>
      <c r="Y321" s="492"/>
      <c r="Z321" s="492"/>
      <c r="AA321" s="492"/>
      <c r="AB321" s="492"/>
      <c r="AC321" s="492"/>
      <c r="AD321" s="492"/>
      <c r="AE321" s="492"/>
      <c r="AF321" s="492"/>
      <c r="AG321" s="492"/>
      <c r="AH321" s="193"/>
    </row>
    <row r="322" spans="1:34" x14ac:dyDescent="0.25">
      <c r="A322" s="193"/>
      <c r="B322" s="490"/>
      <c r="C322" s="499" t="s">
        <v>271</v>
      </c>
      <c r="D322" s="490">
        <v>5</v>
      </c>
      <c r="E322" s="490">
        <v>0.625</v>
      </c>
      <c r="F322" s="490"/>
      <c r="G322" s="490"/>
      <c r="H322" s="490"/>
      <c r="I322" s="490">
        <v>2</v>
      </c>
      <c r="J322" s="490">
        <v>2</v>
      </c>
      <c r="K322" s="490">
        <v>30</v>
      </c>
      <c r="L322" s="490">
        <v>30</v>
      </c>
      <c r="M322" s="490"/>
      <c r="N322" s="490"/>
      <c r="O322" s="490"/>
      <c r="P322" s="490"/>
      <c r="Q322" s="490"/>
      <c r="R322" s="213"/>
      <c r="S322" s="498"/>
      <c r="T322" s="498"/>
      <c r="U322" s="214"/>
      <c r="V322" s="490">
        <f>SUM(R322:U326)</f>
        <v>5</v>
      </c>
      <c r="W322" s="490">
        <f>+SUM(K322:Q326)</f>
        <v>60</v>
      </c>
      <c r="X322" s="490">
        <f>(+I322*J322*W322)/12</f>
        <v>20</v>
      </c>
      <c r="Y322" s="490">
        <f t="shared" ref="Y322:AF322" si="57">IF(Y$4=$D322,$X322*Y$5,0)</f>
        <v>0</v>
      </c>
      <c r="Z322" s="490">
        <f t="shared" si="57"/>
        <v>0</v>
      </c>
      <c r="AA322" s="490">
        <f t="shared" si="57"/>
        <v>20.86</v>
      </c>
      <c r="AB322" s="490">
        <f t="shared" si="57"/>
        <v>0</v>
      </c>
      <c r="AC322" s="490">
        <f t="shared" si="57"/>
        <v>0</v>
      </c>
      <c r="AD322" s="490">
        <f t="shared" si="57"/>
        <v>0</v>
      </c>
      <c r="AE322" s="490">
        <f t="shared" si="57"/>
        <v>0</v>
      </c>
      <c r="AF322" s="490">
        <f t="shared" si="57"/>
        <v>0</v>
      </c>
      <c r="AG322" s="490"/>
      <c r="AH322" s="193"/>
    </row>
    <row r="323" spans="1:34" x14ac:dyDescent="0.25">
      <c r="A323" s="193"/>
      <c r="B323" s="491"/>
      <c r="C323" s="500"/>
      <c r="D323" s="491"/>
      <c r="E323" s="491"/>
      <c r="F323" s="491"/>
      <c r="G323" s="491"/>
      <c r="H323" s="491"/>
      <c r="I323" s="491"/>
      <c r="J323" s="491"/>
      <c r="K323" s="491"/>
      <c r="L323" s="491"/>
      <c r="M323" s="491"/>
      <c r="N323" s="491"/>
      <c r="O323" s="491"/>
      <c r="P323" s="491"/>
      <c r="Q323" s="491"/>
      <c r="R323" s="213"/>
      <c r="S323" s="215"/>
      <c r="T323" s="216"/>
      <c r="U323" s="214"/>
      <c r="V323" s="491"/>
      <c r="W323" s="491"/>
      <c r="X323" s="491"/>
      <c r="Y323" s="491"/>
      <c r="Z323" s="491"/>
      <c r="AA323" s="491"/>
      <c r="AB323" s="491"/>
      <c r="AC323" s="491"/>
      <c r="AD323" s="491"/>
      <c r="AE323" s="491"/>
      <c r="AF323" s="491"/>
      <c r="AG323" s="491"/>
      <c r="AH323" s="193"/>
    </row>
    <row r="324" spans="1:34" x14ac:dyDescent="0.25">
      <c r="A324" s="193"/>
      <c r="B324" s="491"/>
      <c r="C324" s="500"/>
      <c r="D324" s="491"/>
      <c r="E324" s="491"/>
      <c r="F324" s="491"/>
      <c r="G324" s="491"/>
      <c r="H324" s="491"/>
      <c r="I324" s="491"/>
      <c r="J324" s="491"/>
      <c r="K324" s="491"/>
      <c r="L324" s="491"/>
      <c r="M324" s="491"/>
      <c r="N324" s="491"/>
      <c r="O324" s="491"/>
      <c r="P324" s="491"/>
      <c r="Q324" s="491"/>
      <c r="R324" s="217">
        <f>K322/12</f>
        <v>2.5</v>
      </c>
      <c r="S324" s="223"/>
      <c r="T324" s="195"/>
      <c r="U324" s="219"/>
      <c r="V324" s="491"/>
      <c r="W324" s="491"/>
      <c r="X324" s="491"/>
      <c r="Y324" s="491"/>
      <c r="Z324" s="491"/>
      <c r="AA324" s="491"/>
      <c r="AB324" s="491"/>
      <c r="AC324" s="491"/>
      <c r="AD324" s="491"/>
      <c r="AE324" s="491"/>
      <c r="AF324" s="491"/>
      <c r="AG324" s="491"/>
      <c r="AH324" s="193"/>
    </row>
    <row r="325" spans="1:34" ht="15.75" thickBot="1" x14ac:dyDescent="0.3">
      <c r="A325" s="193"/>
      <c r="B325" s="491"/>
      <c r="C325" s="500"/>
      <c r="D325" s="491"/>
      <c r="E325" s="491"/>
      <c r="F325" s="491"/>
      <c r="G325" s="491"/>
      <c r="H325" s="491"/>
      <c r="I325" s="491"/>
      <c r="J325" s="491"/>
      <c r="K325" s="491"/>
      <c r="L325" s="491"/>
      <c r="M325" s="491"/>
      <c r="N325" s="491"/>
      <c r="O325" s="491"/>
      <c r="P325" s="491"/>
      <c r="Q325" s="491"/>
      <c r="R325" s="213"/>
      <c r="S325" s="224"/>
      <c r="T325" s="220"/>
      <c r="U325" s="214"/>
      <c r="V325" s="491"/>
      <c r="W325" s="491"/>
      <c r="X325" s="491"/>
      <c r="Y325" s="491"/>
      <c r="Z325" s="491"/>
      <c r="AA325" s="491"/>
      <c r="AB325" s="491"/>
      <c r="AC325" s="491"/>
      <c r="AD325" s="491"/>
      <c r="AE325" s="491"/>
      <c r="AF325" s="491"/>
      <c r="AG325" s="491"/>
      <c r="AH325" s="193"/>
    </row>
    <row r="326" spans="1:34" x14ac:dyDescent="0.25">
      <c r="A326" s="193"/>
      <c r="B326" s="492"/>
      <c r="C326" s="501"/>
      <c r="D326" s="492"/>
      <c r="E326" s="492"/>
      <c r="F326" s="492"/>
      <c r="G326" s="492"/>
      <c r="H326" s="492"/>
      <c r="I326" s="492"/>
      <c r="J326" s="492"/>
      <c r="K326" s="492"/>
      <c r="L326" s="492"/>
      <c r="M326" s="492"/>
      <c r="N326" s="492"/>
      <c r="O326" s="492"/>
      <c r="P326" s="492"/>
      <c r="Q326" s="492"/>
      <c r="R326" s="221"/>
      <c r="S326" s="493">
        <f>L322/12</f>
        <v>2.5</v>
      </c>
      <c r="T326" s="493"/>
      <c r="U326" s="222"/>
      <c r="V326" s="492"/>
      <c r="W326" s="492"/>
      <c r="X326" s="492"/>
      <c r="Y326" s="492"/>
      <c r="Z326" s="492"/>
      <c r="AA326" s="492"/>
      <c r="AB326" s="492"/>
      <c r="AC326" s="492"/>
      <c r="AD326" s="492"/>
      <c r="AE326" s="492"/>
      <c r="AF326" s="492"/>
      <c r="AG326" s="492"/>
      <c r="AH326" s="193"/>
    </row>
    <row r="327" spans="1:34" x14ac:dyDescent="0.25">
      <c r="A327" s="193"/>
      <c r="B327" s="490"/>
      <c r="C327" s="490" t="s">
        <v>277</v>
      </c>
      <c r="D327" s="490">
        <v>5</v>
      </c>
      <c r="E327" s="490">
        <v>0.625</v>
      </c>
      <c r="F327" s="494">
        <v>16</v>
      </c>
      <c r="G327" s="229"/>
      <c r="H327" s="490"/>
      <c r="I327" s="490">
        <f>ROUNDUP(G317/F327,0)</f>
        <v>7</v>
      </c>
      <c r="J327" s="490">
        <v>1</v>
      </c>
      <c r="K327" s="490">
        <v>6</v>
      </c>
      <c r="L327" s="490">
        <f>4*12-2</f>
        <v>46</v>
      </c>
      <c r="M327" s="490">
        <f>11*12</f>
        <v>132</v>
      </c>
      <c r="N327" s="490"/>
      <c r="O327" s="490"/>
      <c r="P327" s="490"/>
      <c r="Q327" s="490"/>
      <c r="R327" s="213"/>
      <c r="S327" s="498"/>
      <c r="T327" s="498"/>
      <c r="U327" s="214"/>
      <c r="V327" s="490">
        <f>SUM(R327:U331)</f>
        <v>15.333333333333334</v>
      </c>
      <c r="W327" s="490">
        <f>+SUM(K327:Q331)</f>
        <v>184</v>
      </c>
      <c r="X327" s="490">
        <f>(+I327*J327*W327)/12</f>
        <v>107.33333333333333</v>
      </c>
      <c r="Y327" s="490">
        <f t="shared" ref="Y327:AF327" si="58">IF(Y$4=$D327,$X327*Y$5,0)</f>
        <v>0</v>
      </c>
      <c r="Z327" s="490">
        <f t="shared" si="58"/>
        <v>0</v>
      </c>
      <c r="AA327" s="490">
        <f t="shared" si="58"/>
        <v>111.94866666666665</v>
      </c>
      <c r="AB327" s="490">
        <f t="shared" si="58"/>
        <v>0</v>
      </c>
      <c r="AC327" s="490">
        <f t="shared" si="58"/>
        <v>0</v>
      </c>
      <c r="AD327" s="490">
        <f t="shared" si="58"/>
        <v>0</v>
      </c>
      <c r="AE327" s="490">
        <f t="shared" si="58"/>
        <v>0</v>
      </c>
      <c r="AF327" s="490">
        <f t="shared" si="58"/>
        <v>0</v>
      </c>
      <c r="AG327" s="490"/>
      <c r="AH327" s="193"/>
    </row>
    <row r="328" spans="1:34" x14ac:dyDescent="0.25">
      <c r="A328" s="193"/>
      <c r="B328" s="491"/>
      <c r="C328" s="491"/>
      <c r="D328" s="491"/>
      <c r="E328" s="491"/>
      <c r="F328" s="495"/>
      <c r="G328" s="230"/>
      <c r="H328" s="491"/>
      <c r="I328" s="491"/>
      <c r="J328" s="491"/>
      <c r="K328" s="491"/>
      <c r="L328" s="491"/>
      <c r="M328" s="491"/>
      <c r="N328" s="491"/>
      <c r="O328" s="491"/>
      <c r="P328" s="491"/>
      <c r="Q328" s="491"/>
      <c r="R328" s="213"/>
      <c r="S328" s="215"/>
      <c r="T328" s="216"/>
      <c r="U328" s="214"/>
      <c r="V328" s="491"/>
      <c r="W328" s="491"/>
      <c r="X328" s="491"/>
      <c r="Y328" s="491"/>
      <c r="Z328" s="491"/>
      <c r="AA328" s="491"/>
      <c r="AB328" s="491"/>
      <c r="AC328" s="491"/>
      <c r="AD328" s="491"/>
      <c r="AE328" s="491"/>
      <c r="AF328" s="491"/>
      <c r="AG328" s="491"/>
      <c r="AH328" s="193"/>
    </row>
    <row r="329" spans="1:34" x14ac:dyDescent="0.25">
      <c r="A329" s="193"/>
      <c r="B329" s="491"/>
      <c r="C329" s="491"/>
      <c r="D329" s="491"/>
      <c r="E329" s="491"/>
      <c r="F329" s="495"/>
      <c r="G329" s="230"/>
      <c r="H329" s="491"/>
      <c r="I329" s="491"/>
      <c r="J329" s="491"/>
      <c r="K329" s="491"/>
      <c r="L329" s="491"/>
      <c r="M329" s="491"/>
      <c r="N329" s="491"/>
      <c r="O329" s="491"/>
      <c r="P329" s="491"/>
      <c r="Q329" s="491"/>
      <c r="R329" s="225">
        <f>K327/12</f>
        <v>0.5</v>
      </c>
      <c r="S329" s="218"/>
      <c r="T329" s="218"/>
      <c r="U329" s="219"/>
      <c r="V329" s="491"/>
      <c r="W329" s="491"/>
      <c r="X329" s="491"/>
      <c r="Y329" s="491"/>
      <c r="Z329" s="491"/>
      <c r="AA329" s="491"/>
      <c r="AB329" s="491"/>
      <c r="AC329" s="491"/>
      <c r="AD329" s="491"/>
      <c r="AE329" s="491"/>
      <c r="AF329" s="491"/>
      <c r="AG329" s="491"/>
      <c r="AH329" s="193"/>
    </row>
    <row r="330" spans="1:34" ht="15.75" thickBot="1" x14ac:dyDescent="0.3">
      <c r="A330" s="193"/>
      <c r="B330" s="491"/>
      <c r="C330" s="491"/>
      <c r="D330" s="491"/>
      <c r="E330" s="491"/>
      <c r="F330" s="495"/>
      <c r="G330" s="230"/>
      <c r="H330" s="491"/>
      <c r="I330" s="491"/>
      <c r="J330" s="491"/>
      <c r="K330" s="491"/>
      <c r="L330" s="491"/>
      <c r="M330" s="491"/>
      <c r="N330" s="491"/>
      <c r="O330" s="491"/>
      <c r="P330" s="491"/>
      <c r="Q330" s="491"/>
      <c r="R330" s="226"/>
      <c r="S330" s="220"/>
      <c r="T330" s="220"/>
      <c r="U330" s="214"/>
      <c r="V330" s="491"/>
      <c r="W330" s="491"/>
      <c r="X330" s="491"/>
      <c r="Y330" s="491"/>
      <c r="Z330" s="491"/>
      <c r="AA330" s="491"/>
      <c r="AB330" s="491"/>
      <c r="AC330" s="491"/>
      <c r="AD330" s="491"/>
      <c r="AE330" s="491"/>
      <c r="AF330" s="491"/>
      <c r="AG330" s="491"/>
      <c r="AH330" s="193"/>
    </row>
    <row r="331" spans="1:34" x14ac:dyDescent="0.25">
      <c r="A331" s="193"/>
      <c r="B331" s="492"/>
      <c r="C331" s="492"/>
      <c r="D331" s="491"/>
      <c r="E331" s="491"/>
      <c r="F331" s="496"/>
      <c r="G331" s="231"/>
      <c r="H331" s="492"/>
      <c r="I331" s="492"/>
      <c r="J331" s="492"/>
      <c r="K331" s="492"/>
      <c r="L331" s="492"/>
      <c r="M331" s="492"/>
      <c r="N331" s="492"/>
      <c r="O331" s="492"/>
      <c r="P331" s="492"/>
      <c r="Q331" s="492"/>
      <c r="R331" s="221"/>
      <c r="S331" s="493">
        <f>+SUM(L327:M331)/12</f>
        <v>14.833333333333334</v>
      </c>
      <c r="T331" s="493"/>
      <c r="U331" s="222"/>
      <c r="V331" s="492"/>
      <c r="W331" s="492"/>
      <c r="X331" s="492"/>
      <c r="Y331" s="492"/>
      <c r="Z331" s="492"/>
      <c r="AA331" s="492"/>
      <c r="AB331" s="492"/>
      <c r="AC331" s="492"/>
      <c r="AD331" s="492"/>
      <c r="AE331" s="492"/>
      <c r="AF331" s="492"/>
      <c r="AG331" s="492"/>
      <c r="AH331" s="193"/>
    </row>
    <row r="332" spans="1:34" x14ac:dyDescent="0.25">
      <c r="A332" s="193"/>
      <c r="B332" s="490"/>
      <c r="C332" s="490" t="s">
        <v>286</v>
      </c>
      <c r="D332" s="490">
        <v>5</v>
      </c>
      <c r="E332" s="490">
        <v>0.625</v>
      </c>
      <c r="F332" s="494">
        <v>16</v>
      </c>
      <c r="G332" s="229"/>
      <c r="H332" s="490"/>
      <c r="I332" s="490">
        <f>ROUNDUP(M327/F332,0)</f>
        <v>9</v>
      </c>
      <c r="J332" s="490">
        <v>1</v>
      </c>
      <c r="K332" s="490"/>
      <c r="L332" s="490">
        <f>G315-2-2</f>
        <v>106.03999999999999</v>
      </c>
      <c r="M332" s="490"/>
      <c r="N332" s="490"/>
      <c r="O332" s="490"/>
      <c r="P332" s="490"/>
      <c r="Q332" s="490"/>
      <c r="R332" s="213"/>
      <c r="S332" s="498"/>
      <c r="T332" s="498"/>
      <c r="U332" s="214"/>
      <c r="V332" s="490">
        <f>SUM(R332:U336)</f>
        <v>8.836666666666666</v>
      </c>
      <c r="W332" s="490">
        <f>+SUM(K332:Q336)</f>
        <v>106.03999999999999</v>
      </c>
      <c r="X332" s="490">
        <f>(+I332*J332*W332)/12</f>
        <v>79.529999999999987</v>
      </c>
      <c r="Y332" s="490">
        <f t="shared" ref="Y332:AF332" si="59">IF(Y$4=$D332,$X332*Y$5,0)</f>
        <v>0</v>
      </c>
      <c r="Z332" s="490">
        <f t="shared" si="59"/>
        <v>0</v>
      </c>
      <c r="AA332" s="490">
        <f t="shared" si="59"/>
        <v>82.949789999999979</v>
      </c>
      <c r="AB332" s="490">
        <f t="shared" si="59"/>
        <v>0</v>
      </c>
      <c r="AC332" s="490">
        <f t="shared" si="59"/>
        <v>0</v>
      </c>
      <c r="AD332" s="490">
        <f t="shared" si="59"/>
        <v>0</v>
      </c>
      <c r="AE332" s="490">
        <f t="shared" si="59"/>
        <v>0</v>
      </c>
      <c r="AF332" s="490">
        <f t="shared" si="59"/>
        <v>0</v>
      </c>
      <c r="AG332" s="490"/>
      <c r="AH332" s="193"/>
    </row>
    <row r="333" spans="1:34" x14ac:dyDescent="0.25">
      <c r="A333" s="193"/>
      <c r="B333" s="491"/>
      <c r="C333" s="491"/>
      <c r="D333" s="491"/>
      <c r="E333" s="491"/>
      <c r="F333" s="495"/>
      <c r="G333" s="230"/>
      <c r="H333" s="491"/>
      <c r="I333" s="491"/>
      <c r="J333" s="491"/>
      <c r="K333" s="491"/>
      <c r="L333" s="491"/>
      <c r="M333" s="491"/>
      <c r="N333" s="491"/>
      <c r="O333" s="491"/>
      <c r="P333" s="491"/>
      <c r="Q333" s="491"/>
      <c r="R333" s="213"/>
      <c r="S333" s="215"/>
      <c r="T333" s="216"/>
      <c r="U333" s="214"/>
      <c r="V333" s="491"/>
      <c r="W333" s="491"/>
      <c r="X333" s="491"/>
      <c r="Y333" s="491"/>
      <c r="Z333" s="491"/>
      <c r="AA333" s="491"/>
      <c r="AB333" s="491"/>
      <c r="AC333" s="491"/>
      <c r="AD333" s="491"/>
      <c r="AE333" s="491"/>
      <c r="AF333" s="491"/>
      <c r="AG333" s="491"/>
      <c r="AH333" s="193"/>
    </row>
    <row r="334" spans="1:34" x14ac:dyDescent="0.25">
      <c r="A334" s="193"/>
      <c r="B334" s="491"/>
      <c r="C334" s="491"/>
      <c r="D334" s="491"/>
      <c r="E334" s="491"/>
      <c r="F334" s="495"/>
      <c r="G334" s="230"/>
      <c r="H334" s="491"/>
      <c r="I334" s="491"/>
      <c r="J334" s="491"/>
      <c r="K334" s="491"/>
      <c r="L334" s="491"/>
      <c r="M334" s="491"/>
      <c r="N334" s="491"/>
      <c r="O334" s="491"/>
      <c r="P334" s="491"/>
      <c r="Q334" s="497"/>
      <c r="R334" s="217"/>
      <c r="S334" s="218"/>
      <c r="T334" s="218"/>
      <c r="U334" s="219"/>
      <c r="V334" s="491"/>
      <c r="W334" s="491"/>
      <c r="X334" s="491"/>
      <c r="Y334" s="491"/>
      <c r="Z334" s="491"/>
      <c r="AA334" s="491"/>
      <c r="AB334" s="491"/>
      <c r="AC334" s="491"/>
      <c r="AD334" s="491"/>
      <c r="AE334" s="491"/>
      <c r="AF334" s="491"/>
      <c r="AG334" s="491"/>
      <c r="AH334" s="193"/>
    </row>
    <row r="335" spans="1:34" ht="15.75" thickBot="1" x14ac:dyDescent="0.3">
      <c r="A335" s="193"/>
      <c r="B335" s="491"/>
      <c r="C335" s="491"/>
      <c r="D335" s="491"/>
      <c r="E335" s="491"/>
      <c r="F335" s="495"/>
      <c r="G335" s="230"/>
      <c r="H335" s="491"/>
      <c r="I335" s="491"/>
      <c r="J335" s="491"/>
      <c r="K335" s="491"/>
      <c r="L335" s="491"/>
      <c r="M335" s="491"/>
      <c r="N335" s="491"/>
      <c r="O335" s="491"/>
      <c r="P335" s="491"/>
      <c r="Q335" s="497"/>
      <c r="R335" s="213"/>
      <c r="S335" s="220"/>
      <c r="T335" s="220"/>
      <c r="U335" s="214"/>
      <c r="V335" s="491"/>
      <c r="W335" s="491"/>
      <c r="X335" s="491"/>
      <c r="Y335" s="491"/>
      <c r="Z335" s="491"/>
      <c r="AA335" s="491"/>
      <c r="AB335" s="491"/>
      <c r="AC335" s="491"/>
      <c r="AD335" s="491"/>
      <c r="AE335" s="491"/>
      <c r="AF335" s="491"/>
      <c r="AG335" s="491"/>
      <c r="AH335" s="193"/>
    </row>
    <row r="336" spans="1:34" x14ac:dyDescent="0.25">
      <c r="A336" s="193"/>
      <c r="B336" s="492"/>
      <c r="C336" s="492"/>
      <c r="D336" s="491"/>
      <c r="E336" s="491"/>
      <c r="F336" s="496"/>
      <c r="G336" s="231"/>
      <c r="H336" s="492"/>
      <c r="I336" s="492"/>
      <c r="J336" s="492"/>
      <c r="K336" s="492"/>
      <c r="L336" s="492"/>
      <c r="M336" s="492"/>
      <c r="N336" s="492"/>
      <c r="O336" s="492"/>
      <c r="P336" s="492"/>
      <c r="Q336" s="492"/>
      <c r="R336" s="221"/>
      <c r="S336" s="493">
        <f>L332/12</f>
        <v>8.836666666666666</v>
      </c>
      <c r="T336" s="493"/>
      <c r="U336" s="222"/>
      <c r="V336" s="492"/>
      <c r="W336" s="492"/>
      <c r="X336" s="492"/>
      <c r="Y336" s="492"/>
      <c r="Z336" s="492"/>
      <c r="AA336" s="492"/>
      <c r="AB336" s="492"/>
      <c r="AC336" s="492"/>
      <c r="AD336" s="492"/>
      <c r="AE336" s="492"/>
      <c r="AF336" s="492"/>
      <c r="AG336" s="492"/>
      <c r="AH336" s="193"/>
    </row>
    <row r="337" spans="1:34" ht="15.75" thickBot="1" x14ac:dyDescent="0.3">
      <c r="A337" s="195"/>
      <c r="B337" s="200" t="s">
        <v>300</v>
      </c>
      <c r="C337" s="199" t="s">
        <v>283</v>
      </c>
      <c r="D337" s="197">
        <v>60</v>
      </c>
      <c r="E337" s="201">
        <v>8</v>
      </c>
      <c r="F337" s="202"/>
      <c r="G337" s="202">
        <f>7.33*12</f>
        <v>87.960000000000008</v>
      </c>
      <c r="H337" s="202">
        <v>16</v>
      </c>
      <c r="I337" s="202">
        <v>12</v>
      </c>
      <c r="J337" s="202">
        <v>12</v>
      </c>
      <c r="K337" s="199"/>
      <c r="L337" s="199"/>
      <c r="M337" s="199"/>
      <c r="N337" s="199"/>
      <c r="O337" s="199"/>
      <c r="P337" s="199"/>
      <c r="Q337" s="198"/>
      <c r="R337" s="196"/>
      <c r="S337" s="196"/>
      <c r="T337" s="196"/>
      <c r="U337" s="196"/>
      <c r="V337" s="203"/>
      <c r="W337" s="202"/>
      <c r="X337" s="202"/>
      <c r="Y337" s="199"/>
      <c r="Z337" s="199"/>
      <c r="AA337" s="199"/>
      <c r="AB337" s="199"/>
      <c r="AC337" s="199"/>
      <c r="AD337" s="199"/>
      <c r="AE337" s="199"/>
      <c r="AF337" s="199"/>
      <c r="AG337" s="199"/>
      <c r="AH337" s="195"/>
    </row>
    <row r="338" spans="1:34" ht="15.75" thickBot="1" x14ac:dyDescent="0.3">
      <c r="A338" s="193"/>
      <c r="B338" s="204"/>
      <c r="C338" s="205"/>
      <c r="D338" s="194"/>
      <c r="E338" s="206"/>
      <c r="F338" s="205"/>
      <c r="G338" s="205"/>
      <c r="H338" s="207">
        <v>3</v>
      </c>
      <c r="I338" s="207">
        <v>2</v>
      </c>
      <c r="J338" s="205"/>
      <c r="K338" s="205"/>
      <c r="L338" s="205"/>
      <c r="M338" s="205"/>
      <c r="N338" s="205"/>
      <c r="O338" s="205"/>
      <c r="P338" s="205"/>
      <c r="Q338" s="208"/>
      <c r="R338" s="209"/>
      <c r="S338" s="210"/>
      <c r="T338" s="210"/>
      <c r="U338" s="211"/>
      <c r="V338" s="212"/>
      <c r="W338" s="204"/>
      <c r="X338" s="204"/>
      <c r="Y338" s="205"/>
      <c r="Z338" s="205"/>
      <c r="AA338" s="205"/>
      <c r="AB338" s="205"/>
      <c r="AC338" s="205"/>
      <c r="AD338" s="205"/>
      <c r="AE338" s="205"/>
      <c r="AF338" s="205"/>
      <c r="AG338" s="205"/>
      <c r="AH338" s="193"/>
    </row>
    <row r="339" spans="1:34" x14ac:dyDescent="0.25">
      <c r="A339" s="193"/>
      <c r="B339" s="490"/>
      <c r="C339" s="499" t="s">
        <v>265</v>
      </c>
      <c r="D339" s="490">
        <v>5</v>
      </c>
      <c r="E339" s="490">
        <v>0.625</v>
      </c>
      <c r="F339" s="490"/>
      <c r="G339" s="490">
        <f>G337</f>
        <v>87.960000000000008</v>
      </c>
      <c r="H339" s="490"/>
      <c r="I339" s="490">
        <v>2</v>
      </c>
      <c r="J339" s="490">
        <v>1</v>
      </c>
      <c r="K339" s="490"/>
      <c r="L339" s="490">
        <f>G337-2-2</f>
        <v>83.960000000000008</v>
      </c>
      <c r="M339" s="490"/>
      <c r="N339" s="490"/>
      <c r="O339" s="490"/>
      <c r="P339" s="490"/>
      <c r="Q339" s="490"/>
      <c r="R339" s="213"/>
      <c r="S339" s="502"/>
      <c r="T339" s="502"/>
      <c r="U339" s="214"/>
      <c r="V339" s="490">
        <f>SUM(R339:U343)</f>
        <v>6.996666666666667</v>
      </c>
      <c r="W339" s="490">
        <f>+SUM(K339:Q343)</f>
        <v>83.960000000000008</v>
      </c>
      <c r="X339" s="490">
        <f>(+I339*J339*W339)/12</f>
        <v>13.993333333333334</v>
      </c>
      <c r="Y339" s="490">
        <f>IF(Y$4=$D339,$X339*Y$5,0)</f>
        <v>0</v>
      </c>
      <c r="Z339" s="490">
        <f t="shared" ref="Z339:AF339" si="60">IF(Z$4=$D339,$X339*Z$5,0)</f>
        <v>0</v>
      </c>
      <c r="AA339" s="490">
        <f t="shared" si="60"/>
        <v>14.595046666666667</v>
      </c>
      <c r="AB339" s="490">
        <f t="shared" si="60"/>
        <v>0</v>
      </c>
      <c r="AC339" s="490">
        <f t="shared" si="60"/>
        <v>0</v>
      </c>
      <c r="AD339" s="490">
        <f t="shared" si="60"/>
        <v>0</v>
      </c>
      <c r="AE339" s="490">
        <f t="shared" si="60"/>
        <v>0</v>
      </c>
      <c r="AF339" s="490">
        <f t="shared" si="60"/>
        <v>0</v>
      </c>
      <c r="AG339" s="490"/>
      <c r="AH339" s="193"/>
    </row>
    <row r="340" spans="1:34" x14ac:dyDescent="0.25">
      <c r="A340" s="193"/>
      <c r="B340" s="491"/>
      <c r="C340" s="500"/>
      <c r="D340" s="491"/>
      <c r="E340" s="491"/>
      <c r="F340" s="491"/>
      <c r="G340" s="491"/>
      <c r="H340" s="491"/>
      <c r="I340" s="491"/>
      <c r="J340" s="491"/>
      <c r="K340" s="491"/>
      <c r="L340" s="491"/>
      <c r="M340" s="491"/>
      <c r="N340" s="491"/>
      <c r="O340" s="491"/>
      <c r="P340" s="491"/>
      <c r="Q340" s="491"/>
      <c r="R340" s="213"/>
      <c r="S340" s="215"/>
      <c r="T340" s="216"/>
      <c r="U340" s="214"/>
      <c r="V340" s="491"/>
      <c r="W340" s="491"/>
      <c r="X340" s="491"/>
      <c r="Y340" s="491"/>
      <c r="Z340" s="491"/>
      <c r="AA340" s="491"/>
      <c r="AB340" s="491"/>
      <c r="AC340" s="491"/>
      <c r="AD340" s="491"/>
      <c r="AE340" s="491"/>
      <c r="AF340" s="491"/>
      <c r="AG340" s="491"/>
      <c r="AH340" s="193"/>
    </row>
    <row r="341" spans="1:34" x14ac:dyDescent="0.25">
      <c r="A341" s="193"/>
      <c r="B341" s="491"/>
      <c r="C341" s="500"/>
      <c r="D341" s="491"/>
      <c r="E341" s="491"/>
      <c r="F341" s="491"/>
      <c r="G341" s="491"/>
      <c r="H341" s="491"/>
      <c r="I341" s="491"/>
      <c r="J341" s="491"/>
      <c r="K341" s="491"/>
      <c r="L341" s="491"/>
      <c r="M341" s="491"/>
      <c r="N341" s="491"/>
      <c r="O341" s="491"/>
      <c r="P341" s="491"/>
      <c r="Q341" s="491"/>
      <c r="R341" s="217"/>
      <c r="S341" s="218"/>
      <c r="T341" s="218"/>
      <c r="U341" s="219"/>
      <c r="V341" s="491"/>
      <c r="W341" s="491"/>
      <c r="X341" s="491"/>
      <c r="Y341" s="491"/>
      <c r="Z341" s="491"/>
      <c r="AA341" s="491"/>
      <c r="AB341" s="491"/>
      <c r="AC341" s="491"/>
      <c r="AD341" s="491"/>
      <c r="AE341" s="491"/>
      <c r="AF341" s="491"/>
      <c r="AG341" s="491"/>
      <c r="AH341" s="193"/>
    </row>
    <row r="342" spans="1:34" ht="15.75" thickBot="1" x14ac:dyDescent="0.3">
      <c r="A342" s="193"/>
      <c r="B342" s="491"/>
      <c r="C342" s="500"/>
      <c r="D342" s="491"/>
      <c r="E342" s="491"/>
      <c r="F342" s="491"/>
      <c r="G342" s="491"/>
      <c r="H342" s="491"/>
      <c r="I342" s="491"/>
      <c r="J342" s="491"/>
      <c r="K342" s="491"/>
      <c r="L342" s="491"/>
      <c r="M342" s="491"/>
      <c r="N342" s="491"/>
      <c r="O342" s="491"/>
      <c r="P342" s="491"/>
      <c r="Q342" s="491"/>
      <c r="R342" s="213"/>
      <c r="S342" s="220"/>
      <c r="T342" s="220"/>
      <c r="U342" s="214"/>
      <c r="V342" s="491"/>
      <c r="W342" s="491"/>
      <c r="X342" s="491"/>
      <c r="Y342" s="491"/>
      <c r="Z342" s="491"/>
      <c r="AA342" s="491"/>
      <c r="AB342" s="491"/>
      <c r="AC342" s="491"/>
      <c r="AD342" s="491"/>
      <c r="AE342" s="491"/>
      <c r="AF342" s="491"/>
      <c r="AG342" s="491"/>
      <c r="AH342" s="193"/>
    </row>
    <row r="343" spans="1:34" x14ac:dyDescent="0.25">
      <c r="A343" s="193"/>
      <c r="B343" s="492"/>
      <c r="C343" s="501"/>
      <c r="D343" s="492"/>
      <c r="E343" s="492"/>
      <c r="F343" s="492"/>
      <c r="G343" s="492"/>
      <c r="H343" s="492"/>
      <c r="I343" s="492"/>
      <c r="J343" s="492"/>
      <c r="K343" s="492"/>
      <c r="L343" s="492"/>
      <c r="M343" s="492"/>
      <c r="N343" s="492"/>
      <c r="O343" s="492"/>
      <c r="P343" s="492"/>
      <c r="Q343" s="492"/>
      <c r="R343" s="221"/>
      <c r="S343" s="493">
        <f>L339/12</f>
        <v>6.996666666666667</v>
      </c>
      <c r="T343" s="493"/>
      <c r="U343" s="222"/>
      <c r="V343" s="492"/>
      <c r="W343" s="492"/>
      <c r="X343" s="492"/>
      <c r="Y343" s="492"/>
      <c r="Z343" s="492"/>
      <c r="AA343" s="492"/>
      <c r="AB343" s="492"/>
      <c r="AC343" s="492"/>
      <c r="AD343" s="492"/>
      <c r="AE343" s="492"/>
      <c r="AF343" s="492"/>
      <c r="AG343" s="492"/>
      <c r="AH343" s="193"/>
    </row>
    <row r="344" spans="1:34" x14ac:dyDescent="0.25">
      <c r="A344" s="193"/>
      <c r="B344" s="490"/>
      <c r="C344" s="499" t="s">
        <v>271</v>
      </c>
      <c r="D344" s="490">
        <v>5</v>
      </c>
      <c r="E344" s="490">
        <v>0.625</v>
      </c>
      <c r="F344" s="490"/>
      <c r="G344" s="490"/>
      <c r="H344" s="490"/>
      <c r="I344" s="490">
        <v>2</v>
      </c>
      <c r="J344" s="490">
        <v>2</v>
      </c>
      <c r="K344" s="490">
        <v>30</v>
      </c>
      <c r="L344" s="490">
        <v>30</v>
      </c>
      <c r="M344" s="490"/>
      <c r="N344" s="490"/>
      <c r="O344" s="490"/>
      <c r="P344" s="490"/>
      <c r="Q344" s="490"/>
      <c r="R344" s="213"/>
      <c r="S344" s="498"/>
      <c r="T344" s="498"/>
      <c r="U344" s="214"/>
      <c r="V344" s="490">
        <f>SUM(R344:U348)</f>
        <v>5</v>
      </c>
      <c r="W344" s="490">
        <f>+SUM(K344:Q348)</f>
        <v>60</v>
      </c>
      <c r="X344" s="490">
        <f>(+I344*J344*W344)/12</f>
        <v>20</v>
      </c>
      <c r="Y344" s="490">
        <f t="shared" ref="Y344:AF344" si="61">IF(Y$4=$D344,$X344*Y$5,0)</f>
        <v>0</v>
      </c>
      <c r="Z344" s="490">
        <f t="shared" si="61"/>
        <v>0</v>
      </c>
      <c r="AA344" s="490">
        <f t="shared" si="61"/>
        <v>20.86</v>
      </c>
      <c r="AB344" s="490">
        <f t="shared" si="61"/>
        <v>0</v>
      </c>
      <c r="AC344" s="490">
        <f t="shared" si="61"/>
        <v>0</v>
      </c>
      <c r="AD344" s="490">
        <f t="shared" si="61"/>
        <v>0</v>
      </c>
      <c r="AE344" s="490">
        <f t="shared" si="61"/>
        <v>0</v>
      </c>
      <c r="AF344" s="490">
        <f t="shared" si="61"/>
        <v>0</v>
      </c>
      <c r="AG344" s="490"/>
      <c r="AH344" s="193"/>
    </row>
    <row r="345" spans="1:34" x14ac:dyDescent="0.25">
      <c r="A345" s="193"/>
      <c r="B345" s="491"/>
      <c r="C345" s="500"/>
      <c r="D345" s="491"/>
      <c r="E345" s="491"/>
      <c r="F345" s="491"/>
      <c r="G345" s="491"/>
      <c r="H345" s="491"/>
      <c r="I345" s="491"/>
      <c r="J345" s="491"/>
      <c r="K345" s="491"/>
      <c r="L345" s="491"/>
      <c r="M345" s="491"/>
      <c r="N345" s="491"/>
      <c r="O345" s="491"/>
      <c r="P345" s="491"/>
      <c r="Q345" s="491"/>
      <c r="R345" s="213"/>
      <c r="S345" s="215"/>
      <c r="T345" s="216"/>
      <c r="U345" s="214"/>
      <c r="V345" s="491"/>
      <c r="W345" s="491"/>
      <c r="X345" s="491"/>
      <c r="Y345" s="491"/>
      <c r="Z345" s="491"/>
      <c r="AA345" s="491"/>
      <c r="AB345" s="491"/>
      <c r="AC345" s="491"/>
      <c r="AD345" s="491"/>
      <c r="AE345" s="491"/>
      <c r="AF345" s="491"/>
      <c r="AG345" s="491"/>
      <c r="AH345" s="193"/>
    </row>
    <row r="346" spans="1:34" x14ac:dyDescent="0.25">
      <c r="A346" s="193"/>
      <c r="B346" s="491"/>
      <c r="C346" s="500"/>
      <c r="D346" s="491"/>
      <c r="E346" s="491"/>
      <c r="F346" s="491"/>
      <c r="G346" s="491"/>
      <c r="H346" s="491"/>
      <c r="I346" s="491"/>
      <c r="J346" s="491"/>
      <c r="K346" s="491"/>
      <c r="L346" s="491"/>
      <c r="M346" s="491"/>
      <c r="N346" s="491"/>
      <c r="O346" s="491"/>
      <c r="P346" s="491"/>
      <c r="Q346" s="491"/>
      <c r="R346" s="217">
        <f>K344/12</f>
        <v>2.5</v>
      </c>
      <c r="S346" s="223"/>
      <c r="T346" s="195"/>
      <c r="U346" s="219"/>
      <c r="V346" s="491"/>
      <c r="W346" s="491"/>
      <c r="X346" s="491"/>
      <c r="Y346" s="491"/>
      <c r="Z346" s="491"/>
      <c r="AA346" s="491"/>
      <c r="AB346" s="491"/>
      <c r="AC346" s="491"/>
      <c r="AD346" s="491"/>
      <c r="AE346" s="491"/>
      <c r="AF346" s="491"/>
      <c r="AG346" s="491"/>
      <c r="AH346" s="193"/>
    </row>
    <row r="347" spans="1:34" ht="15.75" thickBot="1" x14ac:dyDescent="0.3">
      <c r="A347" s="193"/>
      <c r="B347" s="491"/>
      <c r="C347" s="500"/>
      <c r="D347" s="491"/>
      <c r="E347" s="491"/>
      <c r="F347" s="491"/>
      <c r="G347" s="491"/>
      <c r="H347" s="491"/>
      <c r="I347" s="491"/>
      <c r="J347" s="491"/>
      <c r="K347" s="491"/>
      <c r="L347" s="491"/>
      <c r="M347" s="491"/>
      <c r="N347" s="491"/>
      <c r="O347" s="491"/>
      <c r="P347" s="491"/>
      <c r="Q347" s="491"/>
      <c r="R347" s="213"/>
      <c r="S347" s="224"/>
      <c r="T347" s="220"/>
      <c r="U347" s="214"/>
      <c r="V347" s="491"/>
      <c r="W347" s="491"/>
      <c r="X347" s="491"/>
      <c r="Y347" s="491"/>
      <c r="Z347" s="491"/>
      <c r="AA347" s="491"/>
      <c r="AB347" s="491"/>
      <c r="AC347" s="491"/>
      <c r="AD347" s="491"/>
      <c r="AE347" s="491"/>
      <c r="AF347" s="491"/>
      <c r="AG347" s="491"/>
      <c r="AH347" s="193"/>
    </row>
    <row r="348" spans="1:34" x14ac:dyDescent="0.25">
      <c r="A348" s="193"/>
      <c r="B348" s="492"/>
      <c r="C348" s="501"/>
      <c r="D348" s="492"/>
      <c r="E348" s="492"/>
      <c r="F348" s="492"/>
      <c r="G348" s="492"/>
      <c r="H348" s="492"/>
      <c r="I348" s="492"/>
      <c r="J348" s="492"/>
      <c r="K348" s="492"/>
      <c r="L348" s="492"/>
      <c r="M348" s="492"/>
      <c r="N348" s="492"/>
      <c r="O348" s="492"/>
      <c r="P348" s="492"/>
      <c r="Q348" s="492"/>
      <c r="R348" s="221"/>
      <c r="S348" s="493">
        <f>L344/12</f>
        <v>2.5</v>
      </c>
      <c r="T348" s="493"/>
      <c r="U348" s="222"/>
      <c r="V348" s="492"/>
      <c r="W348" s="492"/>
      <c r="X348" s="492"/>
      <c r="Y348" s="492"/>
      <c r="Z348" s="492"/>
      <c r="AA348" s="492"/>
      <c r="AB348" s="492"/>
      <c r="AC348" s="492"/>
      <c r="AD348" s="492"/>
      <c r="AE348" s="492"/>
      <c r="AF348" s="492"/>
      <c r="AG348" s="492"/>
      <c r="AH348" s="193"/>
    </row>
    <row r="349" spans="1:34" x14ac:dyDescent="0.25">
      <c r="A349" s="193"/>
      <c r="B349" s="490"/>
      <c r="C349" s="490" t="s">
        <v>277</v>
      </c>
      <c r="D349" s="490">
        <v>5</v>
      </c>
      <c r="E349" s="490">
        <v>0.625</v>
      </c>
      <c r="F349" s="494">
        <v>16</v>
      </c>
      <c r="G349" s="229"/>
      <c r="H349" s="490"/>
      <c r="I349" s="490">
        <f>ROUNDUP(G339/F349,0)</f>
        <v>6</v>
      </c>
      <c r="J349" s="490">
        <v>1</v>
      </c>
      <c r="K349" s="490">
        <v>6</v>
      </c>
      <c r="L349" s="490">
        <f>4*12-2</f>
        <v>46</v>
      </c>
      <c r="M349" s="490">
        <f>11*12</f>
        <v>132</v>
      </c>
      <c r="N349" s="490"/>
      <c r="O349" s="490"/>
      <c r="P349" s="490"/>
      <c r="Q349" s="490"/>
      <c r="R349" s="213"/>
      <c r="S349" s="498"/>
      <c r="T349" s="498"/>
      <c r="U349" s="214"/>
      <c r="V349" s="490">
        <f>SUM(R349:U353)</f>
        <v>15.333333333333334</v>
      </c>
      <c r="W349" s="490">
        <f>+SUM(K349:Q353)</f>
        <v>184</v>
      </c>
      <c r="X349" s="490">
        <f>(+I349*J349*W349)/12</f>
        <v>92</v>
      </c>
      <c r="Y349" s="490">
        <f t="shared" ref="Y349:AF349" si="62">IF(Y$4=$D349,$X349*Y$5,0)</f>
        <v>0</v>
      </c>
      <c r="Z349" s="490">
        <f t="shared" si="62"/>
        <v>0</v>
      </c>
      <c r="AA349" s="490">
        <f t="shared" si="62"/>
        <v>95.955999999999989</v>
      </c>
      <c r="AB349" s="490">
        <f t="shared" si="62"/>
        <v>0</v>
      </c>
      <c r="AC349" s="490">
        <f t="shared" si="62"/>
        <v>0</v>
      </c>
      <c r="AD349" s="490">
        <f t="shared" si="62"/>
        <v>0</v>
      </c>
      <c r="AE349" s="490">
        <f t="shared" si="62"/>
        <v>0</v>
      </c>
      <c r="AF349" s="490">
        <f t="shared" si="62"/>
        <v>0</v>
      </c>
      <c r="AG349" s="490"/>
      <c r="AH349" s="193"/>
    </row>
    <row r="350" spans="1:34" x14ac:dyDescent="0.25">
      <c r="A350" s="193"/>
      <c r="B350" s="491"/>
      <c r="C350" s="491"/>
      <c r="D350" s="491"/>
      <c r="E350" s="491"/>
      <c r="F350" s="495"/>
      <c r="G350" s="230"/>
      <c r="H350" s="491"/>
      <c r="I350" s="491"/>
      <c r="J350" s="491"/>
      <c r="K350" s="491"/>
      <c r="L350" s="491"/>
      <c r="M350" s="491"/>
      <c r="N350" s="491"/>
      <c r="O350" s="491"/>
      <c r="P350" s="491"/>
      <c r="Q350" s="491"/>
      <c r="R350" s="213"/>
      <c r="S350" s="215"/>
      <c r="T350" s="216"/>
      <c r="U350" s="214"/>
      <c r="V350" s="491"/>
      <c r="W350" s="491"/>
      <c r="X350" s="491"/>
      <c r="Y350" s="491"/>
      <c r="Z350" s="491"/>
      <c r="AA350" s="491"/>
      <c r="AB350" s="491"/>
      <c r="AC350" s="491"/>
      <c r="AD350" s="491"/>
      <c r="AE350" s="491"/>
      <c r="AF350" s="491"/>
      <c r="AG350" s="491"/>
      <c r="AH350" s="193"/>
    </row>
    <row r="351" spans="1:34" x14ac:dyDescent="0.25">
      <c r="A351" s="193"/>
      <c r="B351" s="491"/>
      <c r="C351" s="491"/>
      <c r="D351" s="491"/>
      <c r="E351" s="491"/>
      <c r="F351" s="495"/>
      <c r="G351" s="230"/>
      <c r="H351" s="491"/>
      <c r="I351" s="491"/>
      <c r="J351" s="491"/>
      <c r="K351" s="491"/>
      <c r="L351" s="491"/>
      <c r="M351" s="491"/>
      <c r="N351" s="491"/>
      <c r="O351" s="491"/>
      <c r="P351" s="491"/>
      <c r="Q351" s="491"/>
      <c r="R351" s="225">
        <f>K349/12</f>
        <v>0.5</v>
      </c>
      <c r="S351" s="218"/>
      <c r="T351" s="218"/>
      <c r="U351" s="219"/>
      <c r="V351" s="491"/>
      <c r="W351" s="491"/>
      <c r="X351" s="491"/>
      <c r="Y351" s="491"/>
      <c r="Z351" s="491"/>
      <c r="AA351" s="491"/>
      <c r="AB351" s="491"/>
      <c r="AC351" s="491"/>
      <c r="AD351" s="491"/>
      <c r="AE351" s="491"/>
      <c r="AF351" s="491"/>
      <c r="AG351" s="491"/>
      <c r="AH351" s="193"/>
    </row>
    <row r="352" spans="1:34" ht="15.75" thickBot="1" x14ac:dyDescent="0.3">
      <c r="A352" s="193"/>
      <c r="B352" s="491"/>
      <c r="C352" s="491"/>
      <c r="D352" s="491"/>
      <c r="E352" s="491"/>
      <c r="F352" s="495"/>
      <c r="G352" s="230"/>
      <c r="H352" s="491"/>
      <c r="I352" s="491"/>
      <c r="J352" s="491"/>
      <c r="K352" s="491"/>
      <c r="L352" s="491"/>
      <c r="M352" s="491"/>
      <c r="N352" s="491"/>
      <c r="O352" s="491"/>
      <c r="P352" s="491"/>
      <c r="Q352" s="491"/>
      <c r="R352" s="226"/>
      <c r="S352" s="220"/>
      <c r="T352" s="220"/>
      <c r="U352" s="214"/>
      <c r="V352" s="491"/>
      <c r="W352" s="491"/>
      <c r="X352" s="491"/>
      <c r="Y352" s="491"/>
      <c r="Z352" s="491"/>
      <c r="AA352" s="491"/>
      <c r="AB352" s="491"/>
      <c r="AC352" s="491"/>
      <c r="AD352" s="491"/>
      <c r="AE352" s="491"/>
      <c r="AF352" s="491"/>
      <c r="AG352" s="491"/>
      <c r="AH352" s="193"/>
    </row>
    <row r="353" spans="1:34" x14ac:dyDescent="0.25">
      <c r="A353" s="193"/>
      <c r="B353" s="492"/>
      <c r="C353" s="492"/>
      <c r="D353" s="491"/>
      <c r="E353" s="491"/>
      <c r="F353" s="496"/>
      <c r="G353" s="231"/>
      <c r="H353" s="492"/>
      <c r="I353" s="492"/>
      <c r="J353" s="492"/>
      <c r="K353" s="492"/>
      <c r="L353" s="492"/>
      <c r="M353" s="492"/>
      <c r="N353" s="492"/>
      <c r="O353" s="492"/>
      <c r="P353" s="492"/>
      <c r="Q353" s="492"/>
      <c r="R353" s="221"/>
      <c r="S353" s="493">
        <f>+SUM(L349:M353)/12</f>
        <v>14.833333333333334</v>
      </c>
      <c r="T353" s="493"/>
      <c r="U353" s="222"/>
      <c r="V353" s="492"/>
      <c r="W353" s="492"/>
      <c r="X353" s="492"/>
      <c r="Y353" s="492"/>
      <c r="Z353" s="492"/>
      <c r="AA353" s="492"/>
      <c r="AB353" s="492"/>
      <c r="AC353" s="492"/>
      <c r="AD353" s="492"/>
      <c r="AE353" s="492"/>
      <c r="AF353" s="492"/>
      <c r="AG353" s="492"/>
      <c r="AH353" s="193"/>
    </row>
    <row r="354" spans="1:34" x14ac:dyDescent="0.25">
      <c r="A354" s="193"/>
      <c r="B354" s="490"/>
      <c r="C354" s="490" t="s">
        <v>286</v>
      </c>
      <c r="D354" s="490">
        <v>5</v>
      </c>
      <c r="E354" s="490">
        <v>0.625</v>
      </c>
      <c r="F354" s="494">
        <v>16</v>
      </c>
      <c r="G354" s="229"/>
      <c r="H354" s="490"/>
      <c r="I354" s="490">
        <f>ROUNDUP(M349/F354,0)</f>
        <v>9</v>
      </c>
      <c r="J354" s="490">
        <v>1</v>
      </c>
      <c r="K354" s="490"/>
      <c r="L354" s="490">
        <f>G337-2-2</f>
        <v>83.960000000000008</v>
      </c>
      <c r="M354" s="490"/>
      <c r="N354" s="490"/>
      <c r="O354" s="490"/>
      <c r="P354" s="490"/>
      <c r="Q354" s="490"/>
      <c r="R354" s="213"/>
      <c r="S354" s="498"/>
      <c r="T354" s="498"/>
      <c r="U354" s="214"/>
      <c r="V354" s="490">
        <f>SUM(R354:U358)</f>
        <v>6.996666666666667</v>
      </c>
      <c r="W354" s="490">
        <f>+SUM(K354:Q358)</f>
        <v>83.960000000000008</v>
      </c>
      <c r="X354" s="490">
        <f>(+I354*J354*W354)/12</f>
        <v>62.970000000000006</v>
      </c>
      <c r="Y354" s="490">
        <f t="shared" ref="Y354:AF354" si="63">IF(Y$4=$D354,$X354*Y$5,0)</f>
        <v>0</v>
      </c>
      <c r="Z354" s="490">
        <f t="shared" si="63"/>
        <v>0</v>
      </c>
      <c r="AA354" s="490">
        <f t="shared" si="63"/>
        <v>65.677710000000005</v>
      </c>
      <c r="AB354" s="490">
        <f t="shared" si="63"/>
        <v>0</v>
      </c>
      <c r="AC354" s="490">
        <f t="shared" si="63"/>
        <v>0</v>
      </c>
      <c r="AD354" s="490">
        <f t="shared" si="63"/>
        <v>0</v>
      </c>
      <c r="AE354" s="490">
        <f t="shared" si="63"/>
        <v>0</v>
      </c>
      <c r="AF354" s="490">
        <f t="shared" si="63"/>
        <v>0</v>
      </c>
      <c r="AG354" s="490"/>
      <c r="AH354" s="193"/>
    </row>
    <row r="355" spans="1:34" x14ac:dyDescent="0.25">
      <c r="A355" s="193"/>
      <c r="B355" s="491"/>
      <c r="C355" s="491"/>
      <c r="D355" s="491"/>
      <c r="E355" s="491"/>
      <c r="F355" s="495"/>
      <c r="G355" s="230"/>
      <c r="H355" s="491"/>
      <c r="I355" s="491"/>
      <c r="J355" s="491"/>
      <c r="K355" s="491"/>
      <c r="L355" s="491"/>
      <c r="M355" s="491"/>
      <c r="N355" s="491"/>
      <c r="O355" s="491"/>
      <c r="P355" s="491"/>
      <c r="Q355" s="491"/>
      <c r="R355" s="213"/>
      <c r="S355" s="215"/>
      <c r="T355" s="216"/>
      <c r="U355" s="214"/>
      <c r="V355" s="491"/>
      <c r="W355" s="491"/>
      <c r="X355" s="491"/>
      <c r="Y355" s="491"/>
      <c r="Z355" s="491"/>
      <c r="AA355" s="491"/>
      <c r="AB355" s="491"/>
      <c r="AC355" s="491"/>
      <c r="AD355" s="491"/>
      <c r="AE355" s="491"/>
      <c r="AF355" s="491"/>
      <c r="AG355" s="491"/>
      <c r="AH355" s="193"/>
    </row>
    <row r="356" spans="1:34" x14ac:dyDescent="0.25">
      <c r="A356" s="193"/>
      <c r="B356" s="491"/>
      <c r="C356" s="491"/>
      <c r="D356" s="491"/>
      <c r="E356" s="491"/>
      <c r="F356" s="495"/>
      <c r="G356" s="230"/>
      <c r="H356" s="491"/>
      <c r="I356" s="491"/>
      <c r="J356" s="491"/>
      <c r="K356" s="491"/>
      <c r="L356" s="491"/>
      <c r="M356" s="491"/>
      <c r="N356" s="491"/>
      <c r="O356" s="491"/>
      <c r="P356" s="491"/>
      <c r="Q356" s="497"/>
      <c r="R356" s="217"/>
      <c r="S356" s="218"/>
      <c r="T356" s="218"/>
      <c r="U356" s="219"/>
      <c r="V356" s="491"/>
      <c r="W356" s="491"/>
      <c r="X356" s="491"/>
      <c r="Y356" s="491"/>
      <c r="Z356" s="491"/>
      <c r="AA356" s="491"/>
      <c r="AB356" s="491"/>
      <c r="AC356" s="491"/>
      <c r="AD356" s="491"/>
      <c r="AE356" s="491"/>
      <c r="AF356" s="491"/>
      <c r="AG356" s="491"/>
      <c r="AH356" s="193"/>
    </row>
    <row r="357" spans="1:34" ht="15.75" thickBot="1" x14ac:dyDescent="0.3">
      <c r="A357" s="193"/>
      <c r="B357" s="491"/>
      <c r="C357" s="491"/>
      <c r="D357" s="491"/>
      <c r="E357" s="491"/>
      <c r="F357" s="495"/>
      <c r="G357" s="230"/>
      <c r="H357" s="491"/>
      <c r="I357" s="491"/>
      <c r="J357" s="491"/>
      <c r="K357" s="491"/>
      <c r="L357" s="491"/>
      <c r="M357" s="491"/>
      <c r="N357" s="491"/>
      <c r="O357" s="491"/>
      <c r="P357" s="491"/>
      <c r="Q357" s="497"/>
      <c r="R357" s="213"/>
      <c r="S357" s="220"/>
      <c r="T357" s="220"/>
      <c r="U357" s="214"/>
      <c r="V357" s="491"/>
      <c r="W357" s="491"/>
      <c r="X357" s="491"/>
      <c r="Y357" s="491"/>
      <c r="Z357" s="491"/>
      <c r="AA357" s="491"/>
      <c r="AB357" s="491"/>
      <c r="AC357" s="491"/>
      <c r="AD357" s="491"/>
      <c r="AE357" s="491"/>
      <c r="AF357" s="491"/>
      <c r="AG357" s="491"/>
      <c r="AH357" s="193"/>
    </row>
    <row r="358" spans="1:34" x14ac:dyDescent="0.25">
      <c r="A358" s="193"/>
      <c r="B358" s="492"/>
      <c r="C358" s="492"/>
      <c r="D358" s="491"/>
      <c r="E358" s="491"/>
      <c r="F358" s="496"/>
      <c r="G358" s="231"/>
      <c r="H358" s="492"/>
      <c r="I358" s="492"/>
      <c r="J358" s="492"/>
      <c r="K358" s="492"/>
      <c r="L358" s="492"/>
      <c r="M358" s="492"/>
      <c r="N358" s="492"/>
      <c r="O358" s="492"/>
      <c r="P358" s="492"/>
      <c r="Q358" s="492"/>
      <c r="R358" s="221"/>
      <c r="S358" s="493">
        <f>L354/12</f>
        <v>6.996666666666667</v>
      </c>
      <c r="T358" s="493"/>
      <c r="U358" s="222"/>
      <c r="V358" s="492"/>
      <c r="W358" s="492"/>
      <c r="X358" s="492"/>
      <c r="Y358" s="492"/>
      <c r="Z358" s="492"/>
      <c r="AA358" s="492"/>
      <c r="AB358" s="492"/>
      <c r="AC358" s="492"/>
      <c r="AD358" s="492"/>
      <c r="AE358" s="492"/>
      <c r="AF358" s="492"/>
      <c r="AG358" s="492"/>
      <c r="AH358" s="193"/>
    </row>
    <row r="359" spans="1:34" ht="15.75" thickBot="1" x14ac:dyDescent="0.3">
      <c r="A359" s="195"/>
      <c r="B359" s="200" t="s">
        <v>301</v>
      </c>
      <c r="C359" s="199" t="s">
        <v>283</v>
      </c>
      <c r="D359" s="197">
        <v>60</v>
      </c>
      <c r="E359" s="201">
        <v>8</v>
      </c>
      <c r="F359" s="202"/>
      <c r="G359" s="202">
        <f>86.33*12</f>
        <v>1035.96</v>
      </c>
      <c r="H359" s="202">
        <v>16</v>
      </c>
      <c r="I359" s="202">
        <v>12</v>
      </c>
      <c r="J359" s="202">
        <v>12</v>
      </c>
      <c r="K359" s="199"/>
      <c r="L359" s="199"/>
      <c r="M359" s="199"/>
      <c r="N359" s="199"/>
      <c r="O359" s="199"/>
      <c r="P359" s="199"/>
      <c r="Q359" s="198"/>
      <c r="R359" s="196"/>
      <c r="S359" s="196"/>
      <c r="T359" s="196"/>
      <c r="U359" s="196"/>
      <c r="V359" s="203"/>
      <c r="W359" s="202"/>
      <c r="X359" s="202"/>
      <c r="Y359" s="199"/>
      <c r="Z359" s="199"/>
      <c r="AA359" s="199"/>
      <c r="AB359" s="199"/>
      <c r="AC359" s="199"/>
      <c r="AD359" s="199"/>
      <c r="AE359" s="199"/>
      <c r="AF359" s="199"/>
      <c r="AG359" s="199"/>
      <c r="AH359" s="195"/>
    </row>
    <row r="360" spans="1:34" ht="15.75" thickBot="1" x14ac:dyDescent="0.3">
      <c r="A360" s="193"/>
      <c r="B360" s="204"/>
      <c r="C360" s="205"/>
      <c r="D360" s="194"/>
      <c r="E360" s="206"/>
      <c r="F360" s="205"/>
      <c r="G360" s="205"/>
      <c r="H360" s="207">
        <v>3</v>
      </c>
      <c r="I360" s="207">
        <v>2</v>
      </c>
      <c r="J360" s="205"/>
      <c r="K360" s="205"/>
      <c r="L360" s="205"/>
      <c r="M360" s="205"/>
      <c r="N360" s="205"/>
      <c r="O360" s="205"/>
      <c r="P360" s="205"/>
      <c r="Q360" s="208"/>
      <c r="R360" s="209"/>
      <c r="S360" s="210"/>
      <c r="T360" s="210"/>
      <c r="U360" s="211"/>
      <c r="V360" s="212"/>
      <c r="W360" s="204"/>
      <c r="X360" s="204"/>
      <c r="Y360" s="205"/>
      <c r="Z360" s="205"/>
      <c r="AA360" s="205"/>
      <c r="AB360" s="205"/>
      <c r="AC360" s="205"/>
      <c r="AD360" s="205"/>
      <c r="AE360" s="205"/>
      <c r="AF360" s="205"/>
      <c r="AG360" s="205"/>
      <c r="AH360" s="193"/>
    </row>
    <row r="361" spans="1:34" x14ac:dyDescent="0.25">
      <c r="A361" s="193"/>
      <c r="B361" s="490"/>
      <c r="C361" s="499" t="s">
        <v>265</v>
      </c>
      <c r="D361" s="490">
        <v>5</v>
      </c>
      <c r="E361" s="490">
        <v>0.625</v>
      </c>
      <c r="F361" s="490"/>
      <c r="G361" s="490">
        <f>G359</f>
        <v>1035.96</v>
      </c>
      <c r="H361" s="490"/>
      <c r="I361" s="490">
        <v>2</v>
      </c>
      <c r="J361" s="490">
        <v>1</v>
      </c>
      <c r="K361" s="490"/>
      <c r="L361" s="490">
        <f>G359-2-2</f>
        <v>1031.96</v>
      </c>
      <c r="M361" s="490"/>
      <c r="N361" s="490"/>
      <c r="O361" s="490"/>
      <c r="P361" s="490"/>
      <c r="Q361" s="490"/>
      <c r="R361" s="213"/>
      <c r="S361" s="502"/>
      <c r="T361" s="502"/>
      <c r="U361" s="214"/>
      <c r="V361" s="490">
        <f>SUM(R361:U365)</f>
        <v>85.99666666666667</v>
      </c>
      <c r="W361" s="490">
        <f>+SUM(K361:Q365)</f>
        <v>1031.96</v>
      </c>
      <c r="X361" s="490">
        <f>(+I361*J361*W361)/12</f>
        <v>171.99333333333334</v>
      </c>
      <c r="Y361" s="490">
        <f>IF(Y$4=$D361,$X361*Y$5,0)</f>
        <v>0</v>
      </c>
      <c r="Z361" s="490">
        <f t="shared" ref="Z361:AF361" si="64">IF(Z$4=$D361,$X361*Z$5,0)</f>
        <v>0</v>
      </c>
      <c r="AA361" s="490">
        <f t="shared" si="64"/>
        <v>179.38904666666667</v>
      </c>
      <c r="AB361" s="490">
        <f t="shared" si="64"/>
        <v>0</v>
      </c>
      <c r="AC361" s="490">
        <f t="shared" si="64"/>
        <v>0</v>
      </c>
      <c r="AD361" s="490">
        <f t="shared" si="64"/>
        <v>0</v>
      </c>
      <c r="AE361" s="490">
        <f t="shared" si="64"/>
        <v>0</v>
      </c>
      <c r="AF361" s="490">
        <f t="shared" si="64"/>
        <v>0</v>
      </c>
      <c r="AG361" s="490"/>
      <c r="AH361" s="193"/>
    </row>
    <row r="362" spans="1:34" x14ac:dyDescent="0.25">
      <c r="A362" s="193"/>
      <c r="B362" s="491"/>
      <c r="C362" s="500"/>
      <c r="D362" s="491"/>
      <c r="E362" s="491"/>
      <c r="F362" s="491"/>
      <c r="G362" s="491"/>
      <c r="H362" s="491"/>
      <c r="I362" s="491"/>
      <c r="J362" s="491"/>
      <c r="K362" s="491"/>
      <c r="L362" s="491"/>
      <c r="M362" s="491"/>
      <c r="N362" s="491"/>
      <c r="O362" s="491"/>
      <c r="P362" s="491"/>
      <c r="Q362" s="491"/>
      <c r="R362" s="213"/>
      <c r="S362" s="215"/>
      <c r="T362" s="216"/>
      <c r="U362" s="214"/>
      <c r="V362" s="491"/>
      <c r="W362" s="491"/>
      <c r="X362" s="491"/>
      <c r="Y362" s="491"/>
      <c r="Z362" s="491"/>
      <c r="AA362" s="491"/>
      <c r="AB362" s="491"/>
      <c r="AC362" s="491"/>
      <c r="AD362" s="491"/>
      <c r="AE362" s="491"/>
      <c r="AF362" s="491"/>
      <c r="AG362" s="491"/>
      <c r="AH362" s="193"/>
    </row>
    <row r="363" spans="1:34" x14ac:dyDescent="0.25">
      <c r="A363" s="193"/>
      <c r="B363" s="491"/>
      <c r="C363" s="500"/>
      <c r="D363" s="491"/>
      <c r="E363" s="491"/>
      <c r="F363" s="491"/>
      <c r="G363" s="491"/>
      <c r="H363" s="491"/>
      <c r="I363" s="491"/>
      <c r="J363" s="491"/>
      <c r="K363" s="491"/>
      <c r="L363" s="491"/>
      <c r="M363" s="491"/>
      <c r="N363" s="491"/>
      <c r="O363" s="491"/>
      <c r="P363" s="491"/>
      <c r="Q363" s="491"/>
      <c r="R363" s="217"/>
      <c r="S363" s="218"/>
      <c r="T363" s="218"/>
      <c r="U363" s="219"/>
      <c r="V363" s="491"/>
      <c r="W363" s="491"/>
      <c r="X363" s="491"/>
      <c r="Y363" s="491"/>
      <c r="Z363" s="491"/>
      <c r="AA363" s="491"/>
      <c r="AB363" s="491"/>
      <c r="AC363" s="491"/>
      <c r="AD363" s="491"/>
      <c r="AE363" s="491"/>
      <c r="AF363" s="491"/>
      <c r="AG363" s="491"/>
      <c r="AH363" s="193"/>
    </row>
    <row r="364" spans="1:34" ht="15.75" thickBot="1" x14ac:dyDescent="0.3">
      <c r="A364" s="193"/>
      <c r="B364" s="491"/>
      <c r="C364" s="500"/>
      <c r="D364" s="491"/>
      <c r="E364" s="491"/>
      <c r="F364" s="491"/>
      <c r="G364" s="491"/>
      <c r="H364" s="491"/>
      <c r="I364" s="491"/>
      <c r="J364" s="491"/>
      <c r="K364" s="491"/>
      <c r="L364" s="491"/>
      <c r="M364" s="491"/>
      <c r="N364" s="491"/>
      <c r="O364" s="491"/>
      <c r="P364" s="491"/>
      <c r="Q364" s="491"/>
      <c r="R364" s="213"/>
      <c r="S364" s="220"/>
      <c r="T364" s="220"/>
      <c r="U364" s="214"/>
      <c r="V364" s="491"/>
      <c r="W364" s="491"/>
      <c r="X364" s="491"/>
      <c r="Y364" s="491"/>
      <c r="Z364" s="491"/>
      <c r="AA364" s="491"/>
      <c r="AB364" s="491"/>
      <c r="AC364" s="491"/>
      <c r="AD364" s="491"/>
      <c r="AE364" s="491"/>
      <c r="AF364" s="491"/>
      <c r="AG364" s="491"/>
      <c r="AH364" s="193"/>
    </row>
    <row r="365" spans="1:34" x14ac:dyDescent="0.25">
      <c r="A365" s="193"/>
      <c r="B365" s="492"/>
      <c r="C365" s="501"/>
      <c r="D365" s="492"/>
      <c r="E365" s="492"/>
      <c r="F365" s="492"/>
      <c r="G365" s="492"/>
      <c r="H365" s="492"/>
      <c r="I365" s="492"/>
      <c r="J365" s="492"/>
      <c r="K365" s="492"/>
      <c r="L365" s="492"/>
      <c r="M365" s="492"/>
      <c r="N365" s="492"/>
      <c r="O365" s="492"/>
      <c r="P365" s="492"/>
      <c r="Q365" s="492"/>
      <c r="R365" s="221"/>
      <c r="S365" s="493">
        <f>L361/12</f>
        <v>85.99666666666667</v>
      </c>
      <c r="T365" s="493"/>
      <c r="U365" s="222"/>
      <c r="V365" s="492"/>
      <c r="W365" s="492"/>
      <c r="X365" s="492"/>
      <c r="Y365" s="492"/>
      <c r="Z365" s="492"/>
      <c r="AA365" s="492"/>
      <c r="AB365" s="492"/>
      <c r="AC365" s="492"/>
      <c r="AD365" s="492"/>
      <c r="AE365" s="492"/>
      <c r="AF365" s="492"/>
      <c r="AG365" s="492"/>
      <c r="AH365" s="193"/>
    </row>
    <row r="366" spans="1:34" x14ac:dyDescent="0.25">
      <c r="A366" s="193"/>
      <c r="B366" s="490"/>
      <c r="C366" s="499" t="s">
        <v>271</v>
      </c>
      <c r="D366" s="490">
        <v>5</v>
      </c>
      <c r="E366" s="490">
        <v>0.625</v>
      </c>
      <c r="F366" s="490"/>
      <c r="G366" s="490"/>
      <c r="H366" s="490"/>
      <c r="I366" s="490">
        <v>2</v>
      </c>
      <c r="J366" s="490">
        <v>2</v>
      </c>
      <c r="K366" s="490">
        <v>30</v>
      </c>
      <c r="L366" s="490">
        <v>30</v>
      </c>
      <c r="M366" s="490"/>
      <c r="N366" s="490"/>
      <c r="O366" s="490"/>
      <c r="P366" s="490"/>
      <c r="Q366" s="490"/>
      <c r="R366" s="213"/>
      <c r="S366" s="498"/>
      <c r="T366" s="498"/>
      <c r="U366" s="214"/>
      <c r="V366" s="490">
        <f>SUM(R366:U370)</f>
        <v>5</v>
      </c>
      <c r="W366" s="490">
        <f>+SUM(K366:Q370)</f>
        <v>60</v>
      </c>
      <c r="X366" s="490">
        <f>(+I366*J366*W366)/12</f>
        <v>20</v>
      </c>
      <c r="Y366" s="490">
        <f t="shared" ref="Y366:AF366" si="65">IF(Y$4=$D366,$X366*Y$5,0)</f>
        <v>0</v>
      </c>
      <c r="Z366" s="490">
        <f t="shared" si="65"/>
        <v>0</v>
      </c>
      <c r="AA366" s="490">
        <f t="shared" si="65"/>
        <v>20.86</v>
      </c>
      <c r="AB366" s="490">
        <f t="shared" si="65"/>
        <v>0</v>
      </c>
      <c r="AC366" s="490">
        <f t="shared" si="65"/>
        <v>0</v>
      </c>
      <c r="AD366" s="490">
        <f t="shared" si="65"/>
        <v>0</v>
      </c>
      <c r="AE366" s="490">
        <f t="shared" si="65"/>
        <v>0</v>
      </c>
      <c r="AF366" s="490">
        <f t="shared" si="65"/>
        <v>0</v>
      </c>
      <c r="AG366" s="490"/>
      <c r="AH366" s="193"/>
    </row>
    <row r="367" spans="1:34" x14ac:dyDescent="0.25">
      <c r="A367" s="193"/>
      <c r="B367" s="491"/>
      <c r="C367" s="500"/>
      <c r="D367" s="491"/>
      <c r="E367" s="491"/>
      <c r="F367" s="491"/>
      <c r="G367" s="491"/>
      <c r="H367" s="491"/>
      <c r="I367" s="491"/>
      <c r="J367" s="491"/>
      <c r="K367" s="491"/>
      <c r="L367" s="491"/>
      <c r="M367" s="491"/>
      <c r="N367" s="491"/>
      <c r="O367" s="491"/>
      <c r="P367" s="491"/>
      <c r="Q367" s="491"/>
      <c r="R367" s="213"/>
      <c r="S367" s="215"/>
      <c r="T367" s="216"/>
      <c r="U367" s="214"/>
      <c r="V367" s="491"/>
      <c r="W367" s="491"/>
      <c r="X367" s="491"/>
      <c r="Y367" s="491"/>
      <c r="Z367" s="491"/>
      <c r="AA367" s="491"/>
      <c r="AB367" s="491"/>
      <c r="AC367" s="491"/>
      <c r="AD367" s="491"/>
      <c r="AE367" s="491"/>
      <c r="AF367" s="491"/>
      <c r="AG367" s="491"/>
      <c r="AH367" s="193"/>
    </row>
    <row r="368" spans="1:34" x14ac:dyDescent="0.25">
      <c r="A368" s="193"/>
      <c r="B368" s="491"/>
      <c r="C368" s="500"/>
      <c r="D368" s="491"/>
      <c r="E368" s="491"/>
      <c r="F368" s="491"/>
      <c r="G368" s="491"/>
      <c r="H368" s="491"/>
      <c r="I368" s="491"/>
      <c r="J368" s="491"/>
      <c r="K368" s="491"/>
      <c r="L368" s="491"/>
      <c r="M368" s="491"/>
      <c r="N368" s="491"/>
      <c r="O368" s="491"/>
      <c r="P368" s="491"/>
      <c r="Q368" s="491"/>
      <c r="R368" s="217">
        <f>K366/12</f>
        <v>2.5</v>
      </c>
      <c r="S368" s="223"/>
      <c r="T368" s="195"/>
      <c r="U368" s="219"/>
      <c r="V368" s="491"/>
      <c r="W368" s="491"/>
      <c r="X368" s="491"/>
      <c r="Y368" s="491"/>
      <c r="Z368" s="491"/>
      <c r="AA368" s="491"/>
      <c r="AB368" s="491"/>
      <c r="AC368" s="491"/>
      <c r="AD368" s="491"/>
      <c r="AE368" s="491"/>
      <c r="AF368" s="491"/>
      <c r="AG368" s="491"/>
      <c r="AH368" s="193"/>
    </row>
    <row r="369" spans="1:34" ht="15.75" thickBot="1" x14ac:dyDescent="0.3">
      <c r="A369" s="193"/>
      <c r="B369" s="491"/>
      <c r="C369" s="500"/>
      <c r="D369" s="491"/>
      <c r="E369" s="491"/>
      <c r="F369" s="491"/>
      <c r="G369" s="491"/>
      <c r="H369" s="491"/>
      <c r="I369" s="491"/>
      <c r="J369" s="491"/>
      <c r="K369" s="491"/>
      <c r="L369" s="491"/>
      <c r="M369" s="491"/>
      <c r="N369" s="491"/>
      <c r="O369" s="491"/>
      <c r="P369" s="491"/>
      <c r="Q369" s="491"/>
      <c r="R369" s="213"/>
      <c r="S369" s="224"/>
      <c r="T369" s="220"/>
      <c r="U369" s="214"/>
      <c r="V369" s="491"/>
      <c r="W369" s="491"/>
      <c r="X369" s="491"/>
      <c r="Y369" s="491"/>
      <c r="Z369" s="491"/>
      <c r="AA369" s="491"/>
      <c r="AB369" s="491"/>
      <c r="AC369" s="491"/>
      <c r="AD369" s="491"/>
      <c r="AE369" s="491"/>
      <c r="AF369" s="491"/>
      <c r="AG369" s="491"/>
      <c r="AH369" s="193"/>
    </row>
    <row r="370" spans="1:34" x14ac:dyDescent="0.25">
      <c r="A370" s="193"/>
      <c r="B370" s="492"/>
      <c r="C370" s="501"/>
      <c r="D370" s="492"/>
      <c r="E370" s="492"/>
      <c r="F370" s="492"/>
      <c r="G370" s="492"/>
      <c r="H370" s="492"/>
      <c r="I370" s="492"/>
      <c r="J370" s="492"/>
      <c r="K370" s="492"/>
      <c r="L370" s="492"/>
      <c r="M370" s="492"/>
      <c r="N370" s="492"/>
      <c r="O370" s="492"/>
      <c r="P370" s="492"/>
      <c r="Q370" s="492"/>
      <c r="R370" s="221"/>
      <c r="S370" s="493">
        <f>L366/12</f>
        <v>2.5</v>
      </c>
      <c r="T370" s="493"/>
      <c r="U370" s="222"/>
      <c r="V370" s="492"/>
      <c r="W370" s="492"/>
      <c r="X370" s="492"/>
      <c r="Y370" s="492"/>
      <c r="Z370" s="492"/>
      <c r="AA370" s="492"/>
      <c r="AB370" s="492"/>
      <c r="AC370" s="492"/>
      <c r="AD370" s="492"/>
      <c r="AE370" s="492"/>
      <c r="AF370" s="492"/>
      <c r="AG370" s="492"/>
      <c r="AH370" s="193"/>
    </row>
    <row r="371" spans="1:34" x14ac:dyDescent="0.25">
      <c r="A371" s="193"/>
      <c r="B371" s="490"/>
      <c r="C371" s="490" t="s">
        <v>277</v>
      </c>
      <c r="D371" s="490">
        <v>5</v>
      </c>
      <c r="E371" s="490">
        <v>0.625</v>
      </c>
      <c r="F371" s="494">
        <v>16</v>
      </c>
      <c r="G371" s="229"/>
      <c r="H371" s="490"/>
      <c r="I371" s="490">
        <f>ROUNDUP(G361/F371,0)</f>
        <v>65</v>
      </c>
      <c r="J371" s="490">
        <v>1</v>
      </c>
      <c r="K371" s="490">
        <v>6</v>
      </c>
      <c r="L371" s="490">
        <f>4*12-2</f>
        <v>46</v>
      </c>
      <c r="M371" s="490">
        <f>11*12</f>
        <v>132</v>
      </c>
      <c r="N371" s="490"/>
      <c r="O371" s="490"/>
      <c r="P371" s="490"/>
      <c r="Q371" s="490"/>
      <c r="R371" s="213"/>
      <c r="S371" s="498"/>
      <c r="T371" s="498"/>
      <c r="U371" s="214"/>
      <c r="V371" s="490">
        <f>SUM(R371:U375)</f>
        <v>15.333333333333334</v>
      </c>
      <c r="W371" s="490">
        <f>+SUM(K371:Q375)</f>
        <v>184</v>
      </c>
      <c r="X371" s="490">
        <f>(+I371*J371*W371)/12</f>
        <v>996.66666666666663</v>
      </c>
      <c r="Y371" s="490">
        <f t="shared" ref="Y371:AF371" si="66">IF(Y$4=$D371,$X371*Y$5,0)</f>
        <v>0</v>
      </c>
      <c r="Z371" s="490">
        <f t="shared" si="66"/>
        <v>0</v>
      </c>
      <c r="AA371" s="490">
        <f t="shared" si="66"/>
        <v>1039.5233333333333</v>
      </c>
      <c r="AB371" s="490">
        <f t="shared" si="66"/>
        <v>0</v>
      </c>
      <c r="AC371" s="490">
        <f t="shared" si="66"/>
        <v>0</v>
      </c>
      <c r="AD371" s="490">
        <f t="shared" si="66"/>
        <v>0</v>
      </c>
      <c r="AE371" s="490">
        <f t="shared" si="66"/>
        <v>0</v>
      </c>
      <c r="AF371" s="490">
        <f t="shared" si="66"/>
        <v>0</v>
      </c>
      <c r="AG371" s="490"/>
      <c r="AH371" s="193"/>
    </row>
    <row r="372" spans="1:34" x14ac:dyDescent="0.25">
      <c r="A372" s="193"/>
      <c r="B372" s="491"/>
      <c r="C372" s="491"/>
      <c r="D372" s="491"/>
      <c r="E372" s="491"/>
      <c r="F372" s="495"/>
      <c r="G372" s="230"/>
      <c r="H372" s="491"/>
      <c r="I372" s="491"/>
      <c r="J372" s="491"/>
      <c r="K372" s="491"/>
      <c r="L372" s="491"/>
      <c r="M372" s="491"/>
      <c r="N372" s="491"/>
      <c r="O372" s="491"/>
      <c r="P372" s="491"/>
      <c r="Q372" s="491"/>
      <c r="R372" s="213"/>
      <c r="S372" s="215"/>
      <c r="T372" s="216"/>
      <c r="U372" s="214"/>
      <c r="V372" s="491"/>
      <c r="W372" s="491"/>
      <c r="X372" s="491"/>
      <c r="Y372" s="491"/>
      <c r="Z372" s="491"/>
      <c r="AA372" s="491"/>
      <c r="AB372" s="491"/>
      <c r="AC372" s="491"/>
      <c r="AD372" s="491"/>
      <c r="AE372" s="491"/>
      <c r="AF372" s="491"/>
      <c r="AG372" s="491"/>
      <c r="AH372" s="193"/>
    </row>
    <row r="373" spans="1:34" x14ac:dyDescent="0.25">
      <c r="A373" s="193"/>
      <c r="B373" s="491"/>
      <c r="C373" s="491"/>
      <c r="D373" s="491"/>
      <c r="E373" s="491"/>
      <c r="F373" s="495"/>
      <c r="G373" s="230"/>
      <c r="H373" s="491"/>
      <c r="I373" s="491"/>
      <c r="J373" s="491"/>
      <c r="K373" s="491"/>
      <c r="L373" s="491"/>
      <c r="M373" s="491"/>
      <c r="N373" s="491"/>
      <c r="O373" s="491"/>
      <c r="P373" s="491"/>
      <c r="Q373" s="491"/>
      <c r="R373" s="225">
        <f>K371/12</f>
        <v>0.5</v>
      </c>
      <c r="S373" s="218"/>
      <c r="T373" s="218"/>
      <c r="U373" s="219"/>
      <c r="V373" s="491"/>
      <c r="W373" s="491"/>
      <c r="X373" s="491"/>
      <c r="Y373" s="491"/>
      <c r="Z373" s="491"/>
      <c r="AA373" s="491"/>
      <c r="AB373" s="491"/>
      <c r="AC373" s="491"/>
      <c r="AD373" s="491"/>
      <c r="AE373" s="491"/>
      <c r="AF373" s="491"/>
      <c r="AG373" s="491"/>
      <c r="AH373" s="193"/>
    </row>
    <row r="374" spans="1:34" ht="15.75" thickBot="1" x14ac:dyDescent="0.3">
      <c r="A374" s="193"/>
      <c r="B374" s="491"/>
      <c r="C374" s="491"/>
      <c r="D374" s="491"/>
      <c r="E374" s="491"/>
      <c r="F374" s="495"/>
      <c r="G374" s="230"/>
      <c r="H374" s="491"/>
      <c r="I374" s="491"/>
      <c r="J374" s="491"/>
      <c r="K374" s="491"/>
      <c r="L374" s="491"/>
      <c r="M374" s="491"/>
      <c r="N374" s="491"/>
      <c r="O374" s="491"/>
      <c r="P374" s="491"/>
      <c r="Q374" s="491"/>
      <c r="R374" s="226"/>
      <c r="S374" s="220"/>
      <c r="T374" s="220"/>
      <c r="U374" s="214"/>
      <c r="V374" s="491"/>
      <c r="W374" s="491"/>
      <c r="X374" s="491"/>
      <c r="Y374" s="491"/>
      <c r="Z374" s="491"/>
      <c r="AA374" s="491"/>
      <c r="AB374" s="491"/>
      <c r="AC374" s="491"/>
      <c r="AD374" s="491"/>
      <c r="AE374" s="491"/>
      <c r="AF374" s="491"/>
      <c r="AG374" s="491"/>
      <c r="AH374" s="193"/>
    </row>
    <row r="375" spans="1:34" x14ac:dyDescent="0.25">
      <c r="A375" s="193"/>
      <c r="B375" s="492"/>
      <c r="C375" s="492"/>
      <c r="D375" s="491"/>
      <c r="E375" s="491"/>
      <c r="F375" s="496"/>
      <c r="G375" s="231"/>
      <c r="H375" s="492"/>
      <c r="I375" s="492"/>
      <c r="J375" s="492"/>
      <c r="K375" s="492"/>
      <c r="L375" s="492"/>
      <c r="M375" s="492"/>
      <c r="N375" s="492"/>
      <c r="O375" s="492"/>
      <c r="P375" s="492"/>
      <c r="Q375" s="492"/>
      <c r="R375" s="221"/>
      <c r="S375" s="493">
        <f>+SUM(L371:M375)/12</f>
        <v>14.833333333333334</v>
      </c>
      <c r="T375" s="493"/>
      <c r="U375" s="222"/>
      <c r="V375" s="492"/>
      <c r="W375" s="492"/>
      <c r="X375" s="492"/>
      <c r="Y375" s="492"/>
      <c r="Z375" s="492"/>
      <c r="AA375" s="492"/>
      <c r="AB375" s="492"/>
      <c r="AC375" s="492"/>
      <c r="AD375" s="492"/>
      <c r="AE375" s="492"/>
      <c r="AF375" s="492"/>
      <c r="AG375" s="492"/>
      <c r="AH375" s="193"/>
    </row>
    <row r="376" spans="1:34" x14ac:dyDescent="0.25">
      <c r="A376" s="193"/>
      <c r="B376" s="490"/>
      <c r="C376" s="490" t="s">
        <v>286</v>
      </c>
      <c r="D376" s="490">
        <v>5</v>
      </c>
      <c r="E376" s="490">
        <v>0.625</v>
      </c>
      <c r="F376" s="494">
        <v>16</v>
      </c>
      <c r="G376" s="229"/>
      <c r="H376" s="490"/>
      <c r="I376" s="490">
        <f>ROUNDUP(M371/F376,0)</f>
        <v>9</v>
      </c>
      <c r="J376" s="490">
        <v>1</v>
      </c>
      <c r="K376" s="490"/>
      <c r="L376" s="490">
        <f>G359-2-2</f>
        <v>1031.96</v>
      </c>
      <c r="M376" s="490"/>
      <c r="N376" s="490"/>
      <c r="O376" s="490"/>
      <c r="P376" s="490"/>
      <c r="Q376" s="490"/>
      <c r="R376" s="213"/>
      <c r="S376" s="498"/>
      <c r="T376" s="498"/>
      <c r="U376" s="214"/>
      <c r="V376" s="490">
        <f>SUM(R376:U380)</f>
        <v>85.99666666666667</v>
      </c>
      <c r="W376" s="490">
        <f>+SUM(K376:Q380)</f>
        <v>1031.96</v>
      </c>
      <c r="X376" s="490">
        <f>(+I376*J376*W376)/12</f>
        <v>773.96999999999991</v>
      </c>
      <c r="Y376" s="490">
        <f t="shared" ref="Y376:AF376" si="67">IF(Y$4=$D376,$X376*Y$5,0)</f>
        <v>0</v>
      </c>
      <c r="Z376" s="490">
        <f t="shared" si="67"/>
        <v>0</v>
      </c>
      <c r="AA376" s="490">
        <f t="shared" si="67"/>
        <v>807.2507099999998</v>
      </c>
      <c r="AB376" s="490">
        <f t="shared" si="67"/>
        <v>0</v>
      </c>
      <c r="AC376" s="490">
        <f t="shared" si="67"/>
        <v>0</v>
      </c>
      <c r="AD376" s="490">
        <f t="shared" si="67"/>
        <v>0</v>
      </c>
      <c r="AE376" s="490">
        <f t="shared" si="67"/>
        <v>0</v>
      </c>
      <c r="AF376" s="490">
        <f t="shared" si="67"/>
        <v>0</v>
      </c>
      <c r="AG376" s="490"/>
      <c r="AH376" s="193"/>
    </row>
    <row r="377" spans="1:34" x14ac:dyDescent="0.25">
      <c r="A377" s="193"/>
      <c r="B377" s="491"/>
      <c r="C377" s="491"/>
      <c r="D377" s="491"/>
      <c r="E377" s="491"/>
      <c r="F377" s="495"/>
      <c r="G377" s="230"/>
      <c r="H377" s="491"/>
      <c r="I377" s="491"/>
      <c r="J377" s="491"/>
      <c r="K377" s="491"/>
      <c r="L377" s="491"/>
      <c r="M377" s="491"/>
      <c r="N377" s="491"/>
      <c r="O377" s="491"/>
      <c r="P377" s="491"/>
      <c r="Q377" s="491"/>
      <c r="R377" s="213"/>
      <c r="S377" s="215"/>
      <c r="T377" s="216"/>
      <c r="U377" s="214"/>
      <c r="V377" s="491"/>
      <c r="W377" s="491"/>
      <c r="X377" s="491"/>
      <c r="Y377" s="491"/>
      <c r="Z377" s="491"/>
      <c r="AA377" s="491"/>
      <c r="AB377" s="491"/>
      <c r="AC377" s="491"/>
      <c r="AD377" s="491"/>
      <c r="AE377" s="491"/>
      <c r="AF377" s="491"/>
      <c r="AG377" s="491"/>
      <c r="AH377" s="193"/>
    </row>
    <row r="378" spans="1:34" x14ac:dyDescent="0.25">
      <c r="A378" s="193"/>
      <c r="B378" s="491"/>
      <c r="C378" s="491"/>
      <c r="D378" s="491"/>
      <c r="E378" s="491"/>
      <c r="F378" s="495"/>
      <c r="G378" s="230"/>
      <c r="H378" s="491"/>
      <c r="I378" s="491"/>
      <c r="J378" s="491"/>
      <c r="K378" s="491"/>
      <c r="L378" s="491"/>
      <c r="M378" s="491"/>
      <c r="N378" s="491"/>
      <c r="O378" s="491"/>
      <c r="P378" s="491"/>
      <c r="Q378" s="497"/>
      <c r="R378" s="217"/>
      <c r="S378" s="218"/>
      <c r="T378" s="218"/>
      <c r="U378" s="219"/>
      <c r="V378" s="491"/>
      <c r="W378" s="491"/>
      <c r="X378" s="491"/>
      <c r="Y378" s="491"/>
      <c r="Z378" s="491"/>
      <c r="AA378" s="491"/>
      <c r="AB378" s="491"/>
      <c r="AC378" s="491"/>
      <c r="AD378" s="491"/>
      <c r="AE378" s="491"/>
      <c r="AF378" s="491"/>
      <c r="AG378" s="491"/>
      <c r="AH378" s="193"/>
    </row>
    <row r="379" spans="1:34" ht="15.75" thickBot="1" x14ac:dyDescent="0.3">
      <c r="A379" s="193"/>
      <c r="B379" s="491"/>
      <c r="C379" s="491"/>
      <c r="D379" s="491"/>
      <c r="E379" s="491"/>
      <c r="F379" s="495"/>
      <c r="G379" s="230"/>
      <c r="H379" s="491"/>
      <c r="I379" s="491"/>
      <c r="J379" s="491"/>
      <c r="K379" s="491"/>
      <c r="L379" s="491"/>
      <c r="M379" s="491"/>
      <c r="N379" s="491"/>
      <c r="O379" s="491"/>
      <c r="P379" s="491"/>
      <c r="Q379" s="497"/>
      <c r="R379" s="213"/>
      <c r="S379" s="220"/>
      <c r="T379" s="220"/>
      <c r="U379" s="214"/>
      <c r="V379" s="491"/>
      <c r="W379" s="491"/>
      <c r="X379" s="491"/>
      <c r="Y379" s="491"/>
      <c r="Z379" s="491"/>
      <c r="AA379" s="491"/>
      <c r="AB379" s="491"/>
      <c r="AC379" s="491"/>
      <c r="AD379" s="491"/>
      <c r="AE379" s="491"/>
      <c r="AF379" s="491"/>
      <c r="AG379" s="491"/>
      <c r="AH379" s="193"/>
    </row>
    <row r="380" spans="1:34" x14ac:dyDescent="0.25">
      <c r="A380" s="193"/>
      <c r="B380" s="492"/>
      <c r="C380" s="492"/>
      <c r="D380" s="491"/>
      <c r="E380" s="491"/>
      <c r="F380" s="496"/>
      <c r="G380" s="231"/>
      <c r="H380" s="492"/>
      <c r="I380" s="492"/>
      <c r="J380" s="492"/>
      <c r="K380" s="492"/>
      <c r="L380" s="492"/>
      <c r="M380" s="492"/>
      <c r="N380" s="492"/>
      <c r="O380" s="492"/>
      <c r="P380" s="492"/>
      <c r="Q380" s="492"/>
      <c r="R380" s="221"/>
      <c r="S380" s="493">
        <f>L376/12</f>
        <v>85.99666666666667</v>
      </c>
      <c r="T380" s="493"/>
      <c r="U380" s="222"/>
      <c r="V380" s="492"/>
      <c r="W380" s="492"/>
      <c r="X380" s="492"/>
      <c r="Y380" s="492"/>
      <c r="Z380" s="492"/>
      <c r="AA380" s="492"/>
      <c r="AB380" s="492"/>
      <c r="AC380" s="492"/>
      <c r="AD380" s="492"/>
      <c r="AE380" s="492"/>
      <c r="AF380" s="492"/>
      <c r="AG380" s="492"/>
      <c r="AH380" s="193"/>
    </row>
    <row r="381" spans="1:34" ht="15.75" thickBot="1" x14ac:dyDescent="0.3">
      <c r="A381" s="195"/>
      <c r="B381" s="200" t="s">
        <v>302</v>
      </c>
      <c r="C381" s="199" t="s">
        <v>283</v>
      </c>
      <c r="D381" s="197">
        <v>60</v>
      </c>
      <c r="E381" s="201">
        <v>8</v>
      </c>
      <c r="F381" s="202"/>
      <c r="G381" s="202">
        <f>9.5*12</f>
        <v>114</v>
      </c>
      <c r="H381" s="202">
        <v>16</v>
      </c>
      <c r="I381" s="202">
        <v>12</v>
      </c>
      <c r="J381" s="202">
        <v>12</v>
      </c>
      <c r="K381" s="199"/>
      <c r="L381" s="199"/>
      <c r="M381" s="199"/>
      <c r="N381" s="199"/>
      <c r="O381" s="199"/>
      <c r="P381" s="199"/>
      <c r="Q381" s="198"/>
      <c r="R381" s="196"/>
      <c r="S381" s="196"/>
      <c r="T381" s="196"/>
      <c r="U381" s="196"/>
      <c r="V381" s="203"/>
      <c r="W381" s="202"/>
      <c r="X381" s="202"/>
      <c r="Y381" s="199"/>
      <c r="Z381" s="199"/>
      <c r="AA381" s="199"/>
      <c r="AB381" s="199"/>
      <c r="AC381" s="199"/>
      <c r="AD381" s="199"/>
      <c r="AE381" s="199"/>
      <c r="AF381" s="199"/>
      <c r="AG381" s="199"/>
      <c r="AH381" s="195"/>
    </row>
    <row r="382" spans="1:34" ht="15.75" thickBot="1" x14ac:dyDescent="0.3">
      <c r="A382" s="193"/>
      <c r="B382" s="204"/>
      <c r="C382" s="205"/>
      <c r="D382" s="194"/>
      <c r="E382" s="206"/>
      <c r="F382" s="205"/>
      <c r="G382" s="205"/>
      <c r="H382" s="207">
        <v>3</v>
      </c>
      <c r="I382" s="207">
        <v>2</v>
      </c>
      <c r="J382" s="205"/>
      <c r="K382" s="205"/>
      <c r="L382" s="205"/>
      <c r="M382" s="205"/>
      <c r="N382" s="205"/>
      <c r="O382" s="205"/>
      <c r="P382" s="205"/>
      <c r="Q382" s="208"/>
      <c r="R382" s="209"/>
      <c r="S382" s="210"/>
      <c r="T382" s="210"/>
      <c r="U382" s="211"/>
      <c r="V382" s="212"/>
      <c r="W382" s="204"/>
      <c r="X382" s="204"/>
      <c r="Y382" s="205"/>
      <c r="Z382" s="205"/>
      <c r="AA382" s="205"/>
      <c r="AB382" s="205"/>
      <c r="AC382" s="205"/>
      <c r="AD382" s="205"/>
      <c r="AE382" s="205"/>
      <c r="AF382" s="205"/>
      <c r="AG382" s="205"/>
      <c r="AH382" s="193"/>
    </row>
    <row r="383" spans="1:34" x14ac:dyDescent="0.25">
      <c r="A383" s="193"/>
      <c r="B383" s="490"/>
      <c r="C383" s="499" t="s">
        <v>265</v>
      </c>
      <c r="D383" s="490">
        <v>5</v>
      </c>
      <c r="E383" s="490">
        <v>0.625</v>
      </c>
      <c r="F383" s="490"/>
      <c r="G383" s="490">
        <f>G381</f>
        <v>114</v>
      </c>
      <c r="H383" s="490"/>
      <c r="I383" s="490">
        <v>2</v>
      </c>
      <c r="J383" s="490">
        <v>1</v>
      </c>
      <c r="K383" s="490"/>
      <c r="L383" s="490">
        <f>G381-2-2</f>
        <v>110</v>
      </c>
      <c r="M383" s="490"/>
      <c r="N383" s="490"/>
      <c r="O383" s="490"/>
      <c r="P383" s="490"/>
      <c r="Q383" s="490"/>
      <c r="R383" s="213"/>
      <c r="S383" s="502"/>
      <c r="T383" s="502"/>
      <c r="U383" s="214"/>
      <c r="V383" s="490">
        <f>SUM(R383:U387)</f>
        <v>9.1666666666666661</v>
      </c>
      <c r="W383" s="490">
        <f>+SUM(K383:Q387)</f>
        <v>110</v>
      </c>
      <c r="X383" s="490">
        <f>(+I383*J383*W383)/12</f>
        <v>18.333333333333332</v>
      </c>
      <c r="Y383" s="490">
        <f>IF(Y$4=$D383,$X383*Y$5,0)</f>
        <v>0</v>
      </c>
      <c r="Z383" s="490">
        <f t="shared" ref="Z383:AF383" si="68">IF(Z$4=$D383,$X383*Z$5,0)</f>
        <v>0</v>
      </c>
      <c r="AA383" s="490">
        <f t="shared" si="68"/>
        <v>19.121666666666663</v>
      </c>
      <c r="AB383" s="490">
        <f t="shared" si="68"/>
        <v>0</v>
      </c>
      <c r="AC383" s="490">
        <f t="shared" si="68"/>
        <v>0</v>
      </c>
      <c r="AD383" s="490">
        <f t="shared" si="68"/>
        <v>0</v>
      </c>
      <c r="AE383" s="490">
        <f t="shared" si="68"/>
        <v>0</v>
      </c>
      <c r="AF383" s="490">
        <f t="shared" si="68"/>
        <v>0</v>
      </c>
      <c r="AG383" s="490"/>
      <c r="AH383" s="193"/>
    </row>
    <row r="384" spans="1:34" x14ac:dyDescent="0.25">
      <c r="A384" s="193"/>
      <c r="B384" s="491"/>
      <c r="C384" s="500"/>
      <c r="D384" s="491"/>
      <c r="E384" s="491"/>
      <c r="F384" s="491"/>
      <c r="G384" s="491"/>
      <c r="H384" s="491"/>
      <c r="I384" s="491"/>
      <c r="J384" s="491"/>
      <c r="K384" s="491"/>
      <c r="L384" s="491"/>
      <c r="M384" s="491"/>
      <c r="N384" s="491"/>
      <c r="O384" s="491"/>
      <c r="P384" s="491"/>
      <c r="Q384" s="491"/>
      <c r="R384" s="213"/>
      <c r="S384" s="215"/>
      <c r="T384" s="216"/>
      <c r="U384" s="214"/>
      <c r="V384" s="491"/>
      <c r="W384" s="491"/>
      <c r="X384" s="491"/>
      <c r="Y384" s="491"/>
      <c r="Z384" s="491"/>
      <c r="AA384" s="491"/>
      <c r="AB384" s="491"/>
      <c r="AC384" s="491"/>
      <c r="AD384" s="491"/>
      <c r="AE384" s="491"/>
      <c r="AF384" s="491"/>
      <c r="AG384" s="491"/>
      <c r="AH384" s="193"/>
    </row>
    <row r="385" spans="1:34" x14ac:dyDescent="0.25">
      <c r="A385" s="193"/>
      <c r="B385" s="491"/>
      <c r="C385" s="500"/>
      <c r="D385" s="491"/>
      <c r="E385" s="491"/>
      <c r="F385" s="491"/>
      <c r="G385" s="491"/>
      <c r="H385" s="491"/>
      <c r="I385" s="491"/>
      <c r="J385" s="491"/>
      <c r="K385" s="491"/>
      <c r="L385" s="491"/>
      <c r="M385" s="491"/>
      <c r="N385" s="491"/>
      <c r="O385" s="491"/>
      <c r="P385" s="491"/>
      <c r="Q385" s="491"/>
      <c r="R385" s="217"/>
      <c r="S385" s="218"/>
      <c r="T385" s="218"/>
      <c r="U385" s="219"/>
      <c r="V385" s="491"/>
      <c r="W385" s="491"/>
      <c r="X385" s="491"/>
      <c r="Y385" s="491"/>
      <c r="Z385" s="491"/>
      <c r="AA385" s="491"/>
      <c r="AB385" s="491"/>
      <c r="AC385" s="491"/>
      <c r="AD385" s="491"/>
      <c r="AE385" s="491"/>
      <c r="AF385" s="491"/>
      <c r="AG385" s="491"/>
      <c r="AH385" s="193"/>
    </row>
    <row r="386" spans="1:34" ht="15.75" thickBot="1" x14ac:dyDescent="0.3">
      <c r="A386" s="193"/>
      <c r="B386" s="491"/>
      <c r="C386" s="500"/>
      <c r="D386" s="491"/>
      <c r="E386" s="491"/>
      <c r="F386" s="491"/>
      <c r="G386" s="491"/>
      <c r="H386" s="491"/>
      <c r="I386" s="491"/>
      <c r="J386" s="491"/>
      <c r="K386" s="491"/>
      <c r="L386" s="491"/>
      <c r="M386" s="491"/>
      <c r="N386" s="491"/>
      <c r="O386" s="491"/>
      <c r="P386" s="491"/>
      <c r="Q386" s="491"/>
      <c r="R386" s="213"/>
      <c r="S386" s="220"/>
      <c r="T386" s="220"/>
      <c r="U386" s="214"/>
      <c r="V386" s="491"/>
      <c r="W386" s="491"/>
      <c r="X386" s="491"/>
      <c r="Y386" s="491"/>
      <c r="Z386" s="491"/>
      <c r="AA386" s="491"/>
      <c r="AB386" s="491"/>
      <c r="AC386" s="491"/>
      <c r="AD386" s="491"/>
      <c r="AE386" s="491"/>
      <c r="AF386" s="491"/>
      <c r="AG386" s="491"/>
      <c r="AH386" s="193"/>
    </row>
    <row r="387" spans="1:34" x14ac:dyDescent="0.25">
      <c r="A387" s="193"/>
      <c r="B387" s="492"/>
      <c r="C387" s="501"/>
      <c r="D387" s="492"/>
      <c r="E387" s="492"/>
      <c r="F387" s="492"/>
      <c r="G387" s="492"/>
      <c r="H387" s="492"/>
      <c r="I387" s="492"/>
      <c r="J387" s="492"/>
      <c r="K387" s="492"/>
      <c r="L387" s="492"/>
      <c r="M387" s="492"/>
      <c r="N387" s="492"/>
      <c r="O387" s="492"/>
      <c r="P387" s="492"/>
      <c r="Q387" s="492"/>
      <c r="R387" s="221"/>
      <c r="S387" s="493">
        <f>L383/12</f>
        <v>9.1666666666666661</v>
      </c>
      <c r="T387" s="493"/>
      <c r="U387" s="222"/>
      <c r="V387" s="492"/>
      <c r="W387" s="492"/>
      <c r="X387" s="492"/>
      <c r="Y387" s="492"/>
      <c r="Z387" s="492"/>
      <c r="AA387" s="492"/>
      <c r="AB387" s="492"/>
      <c r="AC387" s="492"/>
      <c r="AD387" s="492"/>
      <c r="AE387" s="492"/>
      <c r="AF387" s="492"/>
      <c r="AG387" s="492"/>
      <c r="AH387" s="193"/>
    </row>
    <row r="388" spans="1:34" x14ac:dyDescent="0.25">
      <c r="A388" s="193"/>
      <c r="B388" s="490"/>
      <c r="C388" s="499" t="s">
        <v>271</v>
      </c>
      <c r="D388" s="490">
        <v>5</v>
      </c>
      <c r="E388" s="490">
        <v>0.625</v>
      </c>
      <c r="F388" s="490"/>
      <c r="G388" s="490"/>
      <c r="H388" s="490"/>
      <c r="I388" s="490">
        <v>2</v>
      </c>
      <c r="J388" s="490">
        <v>2</v>
      </c>
      <c r="K388" s="490">
        <v>30</v>
      </c>
      <c r="L388" s="490">
        <v>30</v>
      </c>
      <c r="M388" s="490"/>
      <c r="N388" s="490"/>
      <c r="O388" s="490"/>
      <c r="P388" s="490"/>
      <c r="Q388" s="490"/>
      <c r="R388" s="213"/>
      <c r="S388" s="498"/>
      <c r="T388" s="498"/>
      <c r="U388" s="214"/>
      <c r="V388" s="490">
        <f>SUM(R388:U392)</f>
        <v>5</v>
      </c>
      <c r="W388" s="490">
        <f>+SUM(K388:Q392)</f>
        <v>60</v>
      </c>
      <c r="X388" s="490">
        <f>(+I388*J388*W388)/12</f>
        <v>20</v>
      </c>
      <c r="Y388" s="490">
        <f t="shared" ref="Y388:AF388" si="69">IF(Y$4=$D388,$X388*Y$5,0)</f>
        <v>0</v>
      </c>
      <c r="Z388" s="490">
        <f t="shared" si="69"/>
        <v>0</v>
      </c>
      <c r="AA388" s="490">
        <f t="shared" si="69"/>
        <v>20.86</v>
      </c>
      <c r="AB388" s="490">
        <f t="shared" si="69"/>
        <v>0</v>
      </c>
      <c r="AC388" s="490">
        <f t="shared" si="69"/>
        <v>0</v>
      </c>
      <c r="AD388" s="490">
        <f t="shared" si="69"/>
        <v>0</v>
      </c>
      <c r="AE388" s="490">
        <f t="shared" si="69"/>
        <v>0</v>
      </c>
      <c r="AF388" s="490">
        <f t="shared" si="69"/>
        <v>0</v>
      </c>
      <c r="AG388" s="490"/>
      <c r="AH388" s="193"/>
    </row>
    <row r="389" spans="1:34" x14ac:dyDescent="0.25">
      <c r="A389" s="193"/>
      <c r="B389" s="491"/>
      <c r="C389" s="500"/>
      <c r="D389" s="491"/>
      <c r="E389" s="491"/>
      <c r="F389" s="491"/>
      <c r="G389" s="491"/>
      <c r="H389" s="491"/>
      <c r="I389" s="491"/>
      <c r="J389" s="491"/>
      <c r="K389" s="491"/>
      <c r="L389" s="491"/>
      <c r="M389" s="491"/>
      <c r="N389" s="491"/>
      <c r="O389" s="491"/>
      <c r="P389" s="491"/>
      <c r="Q389" s="491"/>
      <c r="R389" s="213"/>
      <c r="S389" s="215"/>
      <c r="T389" s="216"/>
      <c r="U389" s="214"/>
      <c r="V389" s="491"/>
      <c r="W389" s="491"/>
      <c r="X389" s="491"/>
      <c r="Y389" s="491"/>
      <c r="Z389" s="491"/>
      <c r="AA389" s="491"/>
      <c r="AB389" s="491"/>
      <c r="AC389" s="491"/>
      <c r="AD389" s="491"/>
      <c r="AE389" s="491"/>
      <c r="AF389" s="491"/>
      <c r="AG389" s="491"/>
      <c r="AH389" s="193"/>
    </row>
    <row r="390" spans="1:34" x14ac:dyDescent="0.25">
      <c r="A390" s="193"/>
      <c r="B390" s="491"/>
      <c r="C390" s="500"/>
      <c r="D390" s="491"/>
      <c r="E390" s="491"/>
      <c r="F390" s="491"/>
      <c r="G390" s="491"/>
      <c r="H390" s="491"/>
      <c r="I390" s="491"/>
      <c r="J390" s="491"/>
      <c r="K390" s="491"/>
      <c r="L390" s="491"/>
      <c r="M390" s="491"/>
      <c r="N390" s="491"/>
      <c r="O390" s="491"/>
      <c r="P390" s="491"/>
      <c r="Q390" s="491"/>
      <c r="R390" s="217">
        <f>K388/12</f>
        <v>2.5</v>
      </c>
      <c r="S390" s="223"/>
      <c r="T390" s="195"/>
      <c r="U390" s="219"/>
      <c r="V390" s="491"/>
      <c r="W390" s="491"/>
      <c r="X390" s="491"/>
      <c r="Y390" s="491"/>
      <c r="Z390" s="491"/>
      <c r="AA390" s="491"/>
      <c r="AB390" s="491"/>
      <c r="AC390" s="491"/>
      <c r="AD390" s="491"/>
      <c r="AE390" s="491"/>
      <c r="AF390" s="491"/>
      <c r="AG390" s="491"/>
      <c r="AH390" s="193"/>
    </row>
    <row r="391" spans="1:34" ht="15.75" thickBot="1" x14ac:dyDescent="0.3">
      <c r="A391" s="193"/>
      <c r="B391" s="491"/>
      <c r="C391" s="500"/>
      <c r="D391" s="491"/>
      <c r="E391" s="491"/>
      <c r="F391" s="491"/>
      <c r="G391" s="491"/>
      <c r="H391" s="491"/>
      <c r="I391" s="491"/>
      <c r="J391" s="491"/>
      <c r="K391" s="491"/>
      <c r="L391" s="491"/>
      <c r="M391" s="491"/>
      <c r="N391" s="491"/>
      <c r="O391" s="491"/>
      <c r="P391" s="491"/>
      <c r="Q391" s="491"/>
      <c r="R391" s="213"/>
      <c r="S391" s="224"/>
      <c r="T391" s="220"/>
      <c r="U391" s="214"/>
      <c r="V391" s="491"/>
      <c r="W391" s="491"/>
      <c r="X391" s="491"/>
      <c r="Y391" s="491"/>
      <c r="Z391" s="491"/>
      <c r="AA391" s="491"/>
      <c r="AB391" s="491"/>
      <c r="AC391" s="491"/>
      <c r="AD391" s="491"/>
      <c r="AE391" s="491"/>
      <c r="AF391" s="491"/>
      <c r="AG391" s="491"/>
      <c r="AH391" s="193"/>
    </row>
    <row r="392" spans="1:34" x14ac:dyDescent="0.25">
      <c r="A392" s="193"/>
      <c r="B392" s="492"/>
      <c r="C392" s="501"/>
      <c r="D392" s="492"/>
      <c r="E392" s="492"/>
      <c r="F392" s="492"/>
      <c r="G392" s="492"/>
      <c r="H392" s="492"/>
      <c r="I392" s="492"/>
      <c r="J392" s="492"/>
      <c r="K392" s="492"/>
      <c r="L392" s="492"/>
      <c r="M392" s="492"/>
      <c r="N392" s="492"/>
      <c r="O392" s="492"/>
      <c r="P392" s="492"/>
      <c r="Q392" s="492"/>
      <c r="R392" s="221"/>
      <c r="S392" s="493">
        <f>L388/12</f>
        <v>2.5</v>
      </c>
      <c r="T392" s="493"/>
      <c r="U392" s="222"/>
      <c r="V392" s="492"/>
      <c r="W392" s="492"/>
      <c r="X392" s="492"/>
      <c r="Y392" s="492"/>
      <c r="Z392" s="492"/>
      <c r="AA392" s="492"/>
      <c r="AB392" s="492"/>
      <c r="AC392" s="492"/>
      <c r="AD392" s="492"/>
      <c r="AE392" s="492"/>
      <c r="AF392" s="492"/>
      <c r="AG392" s="492"/>
      <c r="AH392" s="193"/>
    </row>
    <row r="393" spans="1:34" x14ac:dyDescent="0.25">
      <c r="A393" s="193"/>
      <c r="B393" s="490"/>
      <c r="C393" s="490" t="s">
        <v>277</v>
      </c>
      <c r="D393" s="490">
        <v>5</v>
      </c>
      <c r="E393" s="490">
        <v>0.625</v>
      </c>
      <c r="F393" s="494">
        <v>16</v>
      </c>
      <c r="G393" s="229"/>
      <c r="H393" s="490"/>
      <c r="I393" s="490">
        <f>ROUNDUP(G383/F393,0)</f>
        <v>8</v>
      </c>
      <c r="J393" s="490">
        <v>1</v>
      </c>
      <c r="K393" s="490">
        <v>6</v>
      </c>
      <c r="L393" s="490">
        <f>4*12-2</f>
        <v>46</v>
      </c>
      <c r="M393" s="490">
        <f>11*12</f>
        <v>132</v>
      </c>
      <c r="N393" s="490"/>
      <c r="O393" s="490"/>
      <c r="P393" s="490"/>
      <c r="Q393" s="490"/>
      <c r="R393" s="213"/>
      <c r="S393" s="498"/>
      <c r="T393" s="498"/>
      <c r="U393" s="214"/>
      <c r="V393" s="490">
        <f>SUM(R393:U397)</f>
        <v>15.333333333333334</v>
      </c>
      <c r="W393" s="490">
        <f>+SUM(K393:Q397)</f>
        <v>184</v>
      </c>
      <c r="X393" s="490">
        <f>(+I393*J393*W393)/12</f>
        <v>122.66666666666667</v>
      </c>
      <c r="Y393" s="490">
        <f t="shared" ref="Y393:AF393" si="70">IF(Y$4=$D393,$X393*Y$5,0)</f>
        <v>0</v>
      </c>
      <c r="Z393" s="490">
        <f t="shared" si="70"/>
        <v>0</v>
      </c>
      <c r="AA393" s="490">
        <f t="shared" si="70"/>
        <v>127.94133333333333</v>
      </c>
      <c r="AB393" s="490">
        <f t="shared" si="70"/>
        <v>0</v>
      </c>
      <c r="AC393" s="490">
        <f t="shared" si="70"/>
        <v>0</v>
      </c>
      <c r="AD393" s="490">
        <f t="shared" si="70"/>
        <v>0</v>
      </c>
      <c r="AE393" s="490">
        <f t="shared" si="70"/>
        <v>0</v>
      </c>
      <c r="AF393" s="490">
        <f t="shared" si="70"/>
        <v>0</v>
      </c>
      <c r="AG393" s="490"/>
      <c r="AH393" s="193"/>
    </row>
    <row r="394" spans="1:34" x14ac:dyDescent="0.25">
      <c r="A394" s="193"/>
      <c r="B394" s="491"/>
      <c r="C394" s="491"/>
      <c r="D394" s="491"/>
      <c r="E394" s="491"/>
      <c r="F394" s="495"/>
      <c r="G394" s="230"/>
      <c r="H394" s="491"/>
      <c r="I394" s="491"/>
      <c r="J394" s="491"/>
      <c r="K394" s="491"/>
      <c r="L394" s="491"/>
      <c r="M394" s="491"/>
      <c r="N394" s="491"/>
      <c r="O394" s="491"/>
      <c r="P394" s="491"/>
      <c r="Q394" s="491"/>
      <c r="R394" s="213"/>
      <c r="S394" s="215"/>
      <c r="T394" s="216"/>
      <c r="U394" s="214"/>
      <c r="V394" s="491"/>
      <c r="W394" s="491"/>
      <c r="X394" s="491"/>
      <c r="Y394" s="491"/>
      <c r="Z394" s="491"/>
      <c r="AA394" s="491"/>
      <c r="AB394" s="491"/>
      <c r="AC394" s="491"/>
      <c r="AD394" s="491"/>
      <c r="AE394" s="491"/>
      <c r="AF394" s="491"/>
      <c r="AG394" s="491"/>
      <c r="AH394" s="193"/>
    </row>
    <row r="395" spans="1:34" x14ac:dyDescent="0.25">
      <c r="A395" s="193"/>
      <c r="B395" s="491"/>
      <c r="C395" s="491"/>
      <c r="D395" s="491"/>
      <c r="E395" s="491"/>
      <c r="F395" s="495"/>
      <c r="G395" s="230"/>
      <c r="H395" s="491"/>
      <c r="I395" s="491"/>
      <c r="J395" s="491"/>
      <c r="K395" s="491"/>
      <c r="L395" s="491"/>
      <c r="M395" s="491"/>
      <c r="N395" s="491"/>
      <c r="O395" s="491"/>
      <c r="P395" s="491"/>
      <c r="Q395" s="491"/>
      <c r="R395" s="225">
        <f>K393/12</f>
        <v>0.5</v>
      </c>
      <c r="S395" s="218"/>
      <c r="T395" s="218"/>
      <c r="U395" s="219"/>
      <c r="V395" s="491"/>
      <c r="W395" s="491"/>
      <c r="X395" s="491"/>
      <c r="Y395" s="491"/>
      <c r="Z395" s="491"/>
      <c r="AA395" s="491"/>
      <c r="AB395" s="491"/>
      <c r="AC395" s="491"/>
      <c r="AD395" s="491"/>
      <c r="AE395" s="491"/>
      <c r="AF395" s="491"/>
      <c r="AG395" s="491"/>
      <c r="AH395" s="193"/>
    </row>
    <row r="396" spans="1:34" ht="15.75" thickBot="1" x14ac:dyDescent="0.3">
      <c r="A396" s="193"/>
      <c r="B396" s="491"/>
      <c r="C396" s="491"/>
      <c r="D396" s="491"/>
      <c r="E396" s="491"/>
      <c r="F396" s="495"/>
      <c r="G396" s="230"/>
      <c r="H396" s="491"/>
      <c r="I396" s="491"/>
      <c r="J396" s="491"/>
      <c r="K396" s="491"/>
      <c r="L396" s="491"/>
      <c r="M396" s="491"/>
      <c r="N396" s="491"/>
      <c r="O396" s="491"/>
      <c r="P396" s="491"/>
      <c r="Q396" s="491"/>
      <c r="R396" s="226"/>
      <c r="S396" s="220"/>
      <c r="T396" s="220"/>
      <c r="U396" s="214"/>
      <c r="V396" s="491"/>
      <c r="W396" s="491"/>
      <c r="X396" s="491"/>
      <c r="Y396" s="491"/>
      <c r="Z396" s="491"/>
      <c r="AA396" s="491"/>
      <c r="AB396" s="491"/>
      <c r="AC396" s="491"/>
      <c r="AD396" s="491"/>
      <c r="AE396" s="491"/>
      <c r="AF396" s="491"/>
      <c r="AG396" s="491"/>
      <c r="AH396" s="193"/>
    </row>
    <row r="397" spans="1:34" x14ac:dyDescent="0.25">
      <c r="A397" s="193"/>
      <c r="B397" s="492"/>
      <c r="C397" s="492"/>
      <c r="D397" s="491"/>
      <c r="E397" s="491"/>
      <c r="F397" s="496"/>
      <c r="G397" s="231"/>
      <c r="H397" s="492"/>
      <c r="I397" s="492"/>
      <c r="J397" s="492"/>
      <c r="K397" s="492"/>
      <c r="L397" s="492"/>
      <c r="M397" s="492"/>
      <c r="N397" s="492"/>
      <c r="O397" s="492"/>
      <c r="P397" s="492"/>
      <c r="Q397" s="492"/>
      <c r="R397" s="221"/>
      <c r="S397" s="493">
        <f>+SUM(L393:M397)/12</f>
        <v>14.833333333333334</v>
      </c>
      <c r="T397" s="493"/>
      <c r="U397" s="222"/>
      <c r="V397" s="492"/>
      <c r="W397" s="492"/>
      <c r="X397" s="492"/>
      <c r="Y397" s="492"/>
      <c r="Z397" s="492"/>
      <c r="AA397" s="492"/>
      <c r="AB397" s="492"/>
      <c r="AC397" s="492"/>
      <c r="AD397" s="492"/>
      <c r="AE397" s="492"/>
      <c r="AF397" s="492"/>
      <c r="AG397" s="492"/>
      <c r="AH397" s="193"/>
    </row>
    <row r="398" spans="1:34" x14ac:dyDescent="0.25">
      <c r="A398" s="193"/>
      <c r="B398" s="490"/>
      <c r="C398" s="490" t="s">
        <v>286</v>
      </c>
      <c r="D398" s="490">
        <v>5</v>
      </c>
      <c r="E398" s="490">
        <v>0.625</v>
      </c>
      <c r="F398" s="494">
        <v>16</v>
      </c>
      <c r="G398" s="229"/>
      <c r="H398" s="490"/>
      <c r="I398" s="490">
        <f>ROUNDUP(M393/F398,0)</f>
        <v>9</v>
      </c>
      <c r="J398" s="490">
        <v>1</v>
      </c>
      <c r="K398" s="490"/>
      <c r="L398" s="490">
        <f>G381-2-2</f>
        <v>110</v>
      </c>
      <c r="M398" s="490"/>
      <c r="N398" s="490"/>
      <c r="O398" s="490"/>
      <c r="P398" s="490"/>
      <c r="Q398" s="490"/>
      <c r="R398" s="213"/>
      <c r="S398" s="498"/>
      <c r="T398" s="498"/>
      <c r="U398" s="214"/>
      <c r="V398" s="490">
        <f>SUM(R398:U402)</f>
        <v>9.1666666666666661</v>
      </c>
      <c r="W398" s="490">
        <f>+SUM(K398:Q402)</f>
        <v>110</v>
      </c>
      <c r="X398" s="490">
        <f>(+I398*J398*W398)/12</f>
        <v>82.5</v>
      </c>
      <c r="Y398" s="490">
        <f t="shared" ref="Y398:AF398" si="71">IF(Y$4=$D398,$X398*Y$5,0)</f>
        <v>0</v>
      </c>
      <c r="Z398" s="490">
        <f t="shared" si="71"/>
        <v>0</v>
      </c>
      <c r="AA398" s="490">
        <f t="shared" si="71"/>
        <v>86.047499999999999</v>
      </c>
      <c r="AB398" s="490">
        <f t="shared" si="71"/>
        <v>0</v>
      </c>
      <c r="AC398" s="490">
        <f t="shared" si="71"/>
        <v>0</v>
      </c>
      <c r="AD398" s="490">
        <f t="shared" si="71"/>
        <v>0</v>
      </c>
      <c r="AE398" s="490">
        <f t="shared" si="71"/>
        <v>0</v>
      </c>
      <c r="AF398" s="490">
        <f t="shared" si="71"/>
        <v>0</v>
      </c>
      <c r="AG398" s="490"/>
      <c r="AH398" s="193"/>
    </row>
    <row r="399" spans="1:34" x14ac:dyDescent="0.25">
      <c r="A399" s="193"/>
      <c r="B399" s="491"/>
      <c r="C399" s="491"/>
      <c r="D399" s="491"/>
      <c r="E399" s="491"/>
      <c r="F399" s="495"/>
      <c r="G399" s="230"/>
      <c r="H399" s="491"/>
      <c r="I399" s="491"/>
      <c r="J399" s="491"/>
      <c r="K399" s="491"/>
      <c r="L399" s="491"/>
      <c r="M399" s="491"/>
      <c r="N399" s="491"/>
      <c r="O399" s="491"/>
      <c r="P399" s="491"/>
      <c r="Q399" s="491"/>
      <c r="R399" s="213"/>
      <c r="S399" s="215"/>
      <c r="T399" s="216"/>
      <c r="U399" s="214"/>
      <c r="V399" s="491"/>
      <c r="W399" s="491"/>
      <c r="X399" s="491"/>
      <c r="Y399" s="491"/>
      <c r="Z399" s="491"/>
      <c r="AA399" s="491"/>
      <c r="AB399" s="491"/>
      <c r="AC399" s="491"/>
      <c r="AD399" s="491"/>
      <c r="AE399" s="491"/>
      <c r="AF399" s="491"/>
      <c r="AG399" s="491"/>
      <c r="AH399" s="193"/>
    </row>
    <row r="400" spans="1:34" x14ac:dyDescent="0.25">
      <c r="A400" s="193"/>
      <c r="B400" s="491"/>
      <c r="C400" s="491"/>
      <c r="D400" s="491"/>
      <c r="E400" s="491"/>
      <c r="F400" s="495"/>
      <c r="G400" s="230"/>
      <c r="H400" s="491"/>
      <c r="I400" s="491"/>
      <c r="J400" s="491"/>
      <c r="K400" s="491"/>
      <c r="L400" s="491"/>
      <c r="M400" s="491"/>
      <c r="N400" s="491"/>
      <c r="O400" s="491"/>
      <c r="P400" s="491"/>
      <c r="Q400" s="497"/>
      <c r="R400" s="217"/>
      <c r="S400" s="218"/>
      <c r="T400" s="218"/>
      <c r="U400" s="219"/>
      <c r="V400" s="491"/>
      <c r="W400" s="491"/>
      <c r="X400" s="491"/>
      <c r="Y400" s="491"/>
      <c r="Z400" s="491"/>
      <c r="AA400" s="491"/>
      <c r="AB400" s="491"/>
      <c r="AC400" s="491"/>
      <c r="AD400" s="491"/>
      <c r="AE400" s="491"/>
      <c r="AF400" s="491"/>
      <c r="AG400" s="491"/>
      <c r="AH400" s="193"/>
    </row>
    <row r="401" spans="1:34" ht="15.75" thickBot="1" x14ac:dyDescent="0.3">
      <c r="A401" s="193"/>
      <c r="B401" s="491"/>
      <c r="C401" s="491"/>
      <c r="D401" s="491"/>
      <c r="E401" s="491"/>
      <c r="F401" s="495"/>
      <c r="G401" s="230"/>
      <c r="H401" s="491"/>
      <c r="I401" s="491"/>
      <c r="J401" s="491"/>
      <c r="K401" s="491"/>
      <c r="L401" s="491"/>
      <c r="M401" s="491"/>
      <c r="N401" s="491"/>
      <c r="O401" s="491"/>
      <c r="P401" s="491"/>
      <c r="Q401" s="497"/>
      <c r="R401" s="213"/>
      <c r="S401" s="220"/>
      <c r="T401" s="220"/>
      <c r="U401" s="214"/>
      <c r="V401" s="491"/>
      <c r="W401" s="491"/>
      <c r="X401" s="491"/>
      <c r="Y401" s="491"/>
      <c r="Z401" s="491"/>
      <c r="AA401" s="491"/>
      <c r="AB401" s="491"/>
      <c r="AC401" s="491"/>
      <c r="AD401" s="491"/>
      <c r="AE401" s="491"/>
      <c r="AF401" s="491"/>
      <c r="AG401" s="491"/>
      <c r="AH401" s="193"/>
    </row>
    <row r="402" spans="1:34" x14ac:dyDescent="0.25">
      <c r="A402" s="193"/>
      <c r="B402" s="492"/>
      <c r="C402" s="492"/>
      <c r="D402" s="491"/>
      <c r="E402" s="491"/>
      <c r="F402" s="496"/>
      <c r="G402" s="231"/>
      <c r="H402" s="492"/>
      <c r="I402" s="492"/>
      <c r="J402" s="492"/>
      <c r="K402" s="492"/>
      <c r="L402" s="492"/>
      <c r="M402" s="492"/>
      <c r="N402" s="492"/>
      <c r="O402" s="492"/>
      <c r="P402" s="492"/>
      <c r="Q402" s="492"/>
      <c r="R402" s="221"/>
      <c r="S402" s="493">
        <f>L398/12</f>
        <v>9.1666666666666661</v>
      </c>
      <c r="T402" s="493"/>
      <c r="U402" s="222"/>
      <c r="V402" s="492"/>
      <c r="W402" s="492"/>
      <c r="X402" s="492"/>
      <c r="Y402" s="492"/>
      <c r="Z402" s="492"/>
      <c r="AA402" s="492"/>
      <c r="AB402" s="492"/>
      <c r="AC402" s="492"/>
      <c r="AD402" s="492"/>
      <c r="AE402" s="492"/>
      <c r="AF402" s="492"/>
      <c r="AG402" s="492"/>
      <c r="AH402" s="193"/>
    </row>
    <row r="403" spans="1:34" ht="15.75" thickBot="1" x14ac:dyDescent="0.3">
      <c r="A403" s="195"/>
      <c r="B403" s="200" t="s">
        <v>303</v>
      </c>
      <c r="C403" s="199" t="s">
        <v>283</v>
      </c>
      <c r="D403" s="197">
        <v>60</v>
      </c>
      <c r="E403" s="201">
        <v>8</v>
      </c>
      <c r="F403" s="202"/>
      <c r="G403" s="202">
        <f>45.33*12</f>
        <v>543.96</v>
      </c>
      <c r="H403" s="202">
        <v>16</v>
      </c>
      <c r="I403" s="202">
        <v>12</v>
      </c>
      <c r="J403" s="202">
        <v>12</v>
      </c>
      <c r="K403" s="199"/>
      <c r="L403" s="199"/>
      <c r="M403" s="199"/>
      <c r="N403" s="199"/>
      <c r="O403" s="199"/>
      <c r="P403" s="199"/>
      <c r="Q403" s="198"/>
      <c r="R403" s="196"/>
      <c r="S403" s="196"/>
      <c r="T403" s="196"/>
      <c r="U403" s="196"/>
      <c r="V403" s="203"/>
      <c r="W403" s="202"/>
      <c r="X403" s="202"/>
      <c r="Y403" s="199"/>
      <c r="Z403" s="199"/>
      <c r="AA403" s="199"/>
      <c r="AB403" s="199"/>
      <c r="AC403" s="199"/>
      <c r="AD403" s="199"/>
      <c r="AE403" s="199"/>
      <c r="AF403" s="199"/>
      <c r="AG403" s="199"/>
      <c r="AH403" s="195"/>
    </row>
    <row r="404" spans="1:34" ht="15.75" thickBot="1" x14ac:dyDescent="0.3">
      <c r="A404" s="193"/>
      <c r="B404" s="204"/>
      <c r="C404" s="205"/>
      <c r="D404" s="194"/>
      <c r="E404" s="206"/>
      <c r="F404" s="205"/>
      <c r="G404" s="205"/>
      <c r="H404" s="207">
        <v>3</v>
      </c>
      <c r="I404" s="207">
        <v>2</v>
      </c>
      <c r="J404" s="205"/>
      <c r="K404" s="205"/>
      <c r="L404" s="205"/>
      <c r="M404" s="205"/>
      <c r="N404" s="205"/>
      <c r="O404" s="205"/>
      <c r="P404" s="205"/>
      <c r="Q404" s="208"/>
      <c r="R404" s="209"/>
      <c r="S404" s="210"/>
      <c r="T404" s="210"/>
      <c r="U404" s="211"/>
      <c r="V404" s="212"/>
      <c r="W404" s="204"/>
      <c r="X404" s="204"/>
      <c r="Y404" s="205"/>
      <c r="Z404" s="205"/>
      <c r="AA404" s="205"/>
      <c r="AB404" s="205"/>
      <c r="AC404" s="205"/>
      <c r="AD404" s="205"/>
      <c r="AE404" s="205"/>
      <c r="AF404" s="205"/>
      <c r="AG404" s="205"/>
      <c r="AH404" s="193"/>
    </row>
    <row r="405" spans="1:34" x14ac:dyDescent="0.25">
      <c r="A405" s="193"/>
      <c r="B405" s="490"/>
      <c r="C405" s="499" t="s">
        <v>265</v>
      </c>
      <c r="D405" s="490">
        <v>5</v>
      </c>
      <c r="E405" s="490">
        <v>0.625</v>
      </c>
      <c r="F405" s="490"/>
      <c r="G405" s="490">
        <f>G403</f>
        <v>543.96</v>
      </c>
      <c r="H405" s="490"/>
      <c r="I405" s="490">
        <v>2</v>
      </c>
      <c r="J405" s="490">
        <v>1</v>
      </c>
      <c r="K405" s="490"/>
      <c r="L405" s="490">
        <f>G403-2-2</f>
        <v>539.96</v>
      </c>
      <c r="M405" s="490"/>
      <c r="N405" s="490"/>
      <c r="O405" s="490"/>
      <c r="P405" s="490"/>
      <c r="Q405" s="490"/>
      <c r="R405" s="213"/>
      <c r="S405" s="502"/>
      <c r="T405" s="502"/>
      <c r="U405" s="214"/>
      <c r="V405" s="490">
        <f>SUM(R405:U409)</f>
        <v>44.99666666666667</v>
      </c>
      <c r="W405" s="490">
        <f>+SUM(K405:Q409)</f>
        <v>539.96</v>
      </c>
      <c r="X405" s="490">
        <f>(+I405*J405*W405)/12</f>
        <v>89.993333333333339</v>
      </c>
      <c r="Y405" s="490">
        <f>IF(Y$4=$D405,$X405*Y$5,0)</f>
        <v>0</v>
      </c>
      <c r="Z405" s="490">
        <f t="shared" ref="Z405:AF405" si="72">IF(Z$4=$D405,$X405*Z$5,0)</f>
        <v>0</v>
      </c>
      <c r="AA405" s="490">
        <f t="shared" si="72"/>
        <v>93.863046666666662</v>
      </c>
      <c r="AB405" s="490">
        <f t="shared" si="72"/>
        <v>0</v>
      </c>
      <c r="AC405" s="490">
        <f t="shared" si="72"/>
        <v>0</v>
      </c>
      <c r="AD405" s="490">
        <f t="shared" si="72"/>
        <v>0</v>
      </c>
      <c r="AE405" s="490">
        <f t="shared" si="72"/>
        <v>0</v>
      </c>
      <c r="AF405" s="490">
        <f t="shared" si="72"/>
        <v>0</v>
      </c>
      <c r="AG405" s="490"/>
      <c r="AH405" s="193"/>
    </row>
    <row r="406" spans="1:34" x14ac:dyDescent="0.25">
      <c r="A406" s="193"/>
      <c r="B406" s="491"/>
      <c r="C406" s="500"/>
      <c r="D406" s="491"/>
      <c r="E406" s="491"/>
      <c r="F406" s="491"/>
      <c r="G406" s="491"/>
      <c r="H406" s="491"/>
      <c r="I406" s="491"/>
      <c r="J406" s="491"/>
      <c r="K406" s="491"/>
      <c r="L406" s="491"/>
      <c r="M406" s="491"/>
      <c r="N406" s="491"/>
      <c r="O406" s="491"/>
      <c r="P406" s="491"/>
      <c r="Q406" s="491"/>
      <c r="R406" s="213"/>
      <c r="S406" s="215"/>
      <c r="T406" s="216"/>
      <c r="U406" s="214"/>
      <c r="V406" s="491"/>
      <c r="W406" s="491"/>
      <c r="X406" s="491"/>
      <c r="Y406" s="491"/>
      <c r="Z406" s="491"/>
      <c r="AA406" s="491"/>
      <c r="AB406" s="491"/>
      <c r="AC406" s="491"/>
      <c r="AD406" s="491"/>
      <c r="AE406" s="491"/>
      <c r="AF406" s="491"/>
      <c r="AG406" s="491"/>
      <c r="AH406" s="193"/>
    </row>
    <row r="407" spans="1:34" x14ac:dyDescent="0.25">
      <c r="A407" s="193"/>
      <c r="B407" s="491"/>
      <c r="C407" s="500"/>
      <c r="D407" s="491"/>
      <c r="E407" s="491"/>
      <c r="F407" s="491"/>
      <c r="G407" s="491"/>
      <c r="H407" s="491"/>
      <c r="I407" s="491"/>
      <c r="J407" s="491"/>
      <c r="K407" s="491"/>
      <c r="L407" s="491"/>
      <c r="M407" s="491"/>
      <c r="N407" s="491"/>
      <c r="O407" s="491"/>
      <c r="P407" s="491"/>
      <c r="Q407" s="491"/>
      <c r="R407" s="217"/>
      <c r="S407" s="218"/>
      <c r="T407" s="218"/>
      <c r="U407" s="219"/>
      <c r="V407" s="491"/>
      <c r="W407" s="491"/>
      <c r="X407" s="491"/>
      <c r="Y407" s="491"/>
      <c r="Z407" s="491"/>
      <c r="AA407" s="491"/>
      <c r="AB407" s="491"/>
      <c r="AC407" s="491"/>
      <c r="AD407" s="491"/>
      <c r="AE407" s="491"/>
      <c r="AF407" s="491"/>
      <c r="AG407" s="491"/>
      <c r="AH407" s="193"/>
    </row>
    <row r="408" spans="1:34" ht="15.75" thickBot="1" x14ac:dyDescent="0.3">
      <c r="A408" s="193"/>
      <c r="B408" s="491"/>
      <c r="C408" s="500"/>
      <c r="D408" s="491"/>
      <c r="E408" s="491"/>
      <c r="F408" s="491"/>
      <c r="G408" s="491"/>
      <c r="H408" s="491"/>
      <c r="I408" s="491"/>
      <c r="J408" s="491"/>
      <c r="K408" s="491"/>
      <c r="L408" s="491"/>
      <c r="M408" s="491"/>
      <c r="N408" s="491"/>
      <c r="O408" s="491"/>
      <c r="P408" s="491"/>
      <c r="Q408" s="491"/>
      <c r="R408" s="213"/>
      <c r="S408" s="220"/>
      <c r="T408" s="220"/>
      <c r="U408" s="214"/>
      <c r="V408" s="491"/>
      <c r="W408" s="491"/>
      <c r="X408" s="491"/>
      <c r="Y408" s="491"/>
      <c r="Z408" s="491"/>
      <c r="AA408" s="491"/>
      <c r="AB408" s="491"/>
      <c r="AC408" s="491"/>
      <c r="AD408" s="491"/>
      <c r="AE408" s="491"/>
      <c r="AF408" s="491"/>
      <c r="AG408" s="491"/>
      <c r="AH408" s="193"/>
    </row>
    <row r="409" spans="1:34" x14ac:dyDescent="0.25">
      <c r="A409" s="193"/>
      <c r="B409" s="492"/>
      <c r="C409" s="501"/>
      <c r="D409" s="492"/>
      <c r="E409" s="492"/>
      <c r="F409" s="492"/>
      <c r="G409" s="492"/>
      <c r="H409" s="492"/>
      <c r="I409" s="492"/>
      <c r="J409" s="492"/>
      <c r="K409" s="492"/>
      <c r="L409" s="492"/>
      <c r="M409" s="492"/>
      <c r="N409" s="492"/>
      <c r="O409" s="492"/>
      <c r="P409" s="492"/>
      <c r="Q409" s="492"/>
      <c r="R409" s="221"/>
      <c r="S409" s="493">
        <f>L405/12</f>
        <v>44.99666666666667</v>
      </c>
      <c r="T409" s="493"/>
      <c r="U409" s="222"/>
      <c r="V409" s="492"/>
      <c r="W409" s="492"/>
      <c r="X409" s="492"/>
      <c r="Y409" s="492"/>
      <c r="Z409" s="492"/>
      <c r="AA409" s="492"/>
      <c r="AB409" s="492"/>
      <c r="AC409" s="492"/>
      <c r="AD409" s="492"/>
      <c r="AE409" s="492"/>
      <c r="AF409" s="492"/>
      <c r="AG409" s="492"/>
      <c r="AH409" s="193"/>
    </row>
    <row r="410" spans="1:34" x14ac:dyDescent="0.25">
      <c r="A410" s="193"/>
      <c r="B410" s="490"/>
      <c r="C410" s="499" t="s">
        <v>271</v>
      </c>
      <c r="D410" s="490">
        <v>5</v>
      </c>
      <c r="E410" s="490">
        <v>0.625</v>
      </c>
      <c r="F410" s="490"/>
      <c r="G410" s="490"/>
      <c r="H410" s="490"/>
      <c r="I410" s="490">
        <v>2</v>
      </c>
      <c r="J410" s="490">
        <v>2</v>
      </c>
      <c r="K410" s="490">
        <v>30</v>
      </c>
      <c r="L410" s="490">
        <v>30</v>
      </c>
      <c r="M410" s="490"/>
      <c r="N410" s="490"/>
      <c r="O410" s="490"/>
      <c r="P410" s="490"/>
      <c r="Q410" s="490"/>
      <c r="R410" s="213"/>
      <c r="S410" s="498"/>
      <c r="T410" s="498"/>
      <c r="U410" s="214"/>
      <c r="V410" s="490">
        <f>SUM(R410:U414)</f>
        <v>5</v>
      </c>
      <c r="W410" s="490">
        <f>+SUM(K410:Q414)</f>
        <v>60</v>
      </c>
      <c r="X410" s="490">
        <f>(+I410*J410*W410)/12</f>
        <v>20</v>
      </c>
      <c r="Y410" s="490">
        <f t="shared" ref="Y410:AF410" si="73">IF(Y$4=$D410,$X410*Y$5,0)</f>
        <v>0</v>
      </c>
      <c r="Z410" s="490">
        <f t="shared" si="73"/>
        <v>0</v>
      </c>
      <c r="AA410" s="490">
        <f t="shared" si="73"/>
        <v>20.86</v>
      </c>
      <c r="AB410" s="490">
        <f t="shared" si="73"/>
        <v>0</v>
      </c>
      <c r="AC410" s="490">
        <f t="shared" si="73"/>
        <v>0</v>
      </c>
      <c r="AD410" s="490">
        <f t="shared" si="73"/>
        <v>0</v>
      </c>
      <c r="AE410" s="490">
        <f t="shared" si="73"/>
        <v>0</v>
      </c>
      <c r="AF410" s="490">
        <f t="shared" si="73"/>
        <v>0</v>
      </c>
      <c r="AG410" s="490"/>
      <c r="AH410" s="193"/>
    </row>
    <row r="411" spans="1:34" x14ac:dyDescent="0.25">
      <c r="A411" s="193"/>
      <c r="B411" s="491"/>
      <c r="C411" s="500"/>
      <c r="D411" s="491"/>
      <c r="E411" s="491"/>
      <c r="F411" s="491"/>
      <c r="G411" s="491"/>
      <c r="H411" s="491"/>
      <c r="I411" s="491"/>
      <c r="J411" s="491"/>
      <c r="K411" s="491"/>
      <c r="L411" s="491"/>
      <c r="M411" s="491"/>
      <c r="N411" s="491"/>
      <c r="O411" s="491"/>
      <c r="P411" s="491"/>
      <c r="Q411" s="491"/>
      <c r="R411" s="213"/>
      <c r="S411" s="215"/>
      <c r="T411" s="216"/>
      <c r="U411" s="214"/>
      <c r="V411" s="491"/>
      <c r="W411" s="491"/>
      <c r="X411" s="491"/>
      <c r="Y411" s="491"/>
      <c r="Z411" s="491"/>
      <c r="AA411" s="491"/>
      <c r="AB411" s="491"/>
      <c r="AC411" s="491"/>
      <c r="AD411" s="491"/>
      <c r="AE411" s="491"/>
      <c r="AF411" s="491"/>
      <c r="AG411" s="491"/>
      <c r="AH411" s="193"/>
    </row>
    <row r="412" spans="1:34" x14ac:dyDescent="0.25">
      <c r="A412" s="193"/>
      <c r="B412" s="491"/>
      <c r="C412" s="500"/>
      <c r="D412" s="491"/>
      <c r="E412" s="491"/>
      <c r="F412" s="491"/>
      <c r="G412" s="491"/>
      <c r="H412" s="491"/>
      <c r="I412" s="491"/>
      <c r="J412" s="491"/>
      <c r="K412" s="491"/>
      <c r="L412" s="491"/>
      <c r="M412" s="491"/>
      <c r="N412" s="491"/>
      <c r="O412" s="491"/>
      <c r="P412" s="491"/>
      <c r="Q412" s="491"/>
      <c r="R412" s="217">
        <f>K410/12</f>
        <v>2.5</v>
      </c>
      <c r="S412" s="223"/>
      <c r="T412" s="195"/>
      <c r="U412" s="219"/>
      <c r="V412" s="491"/>
      <c r="W412" s="491"/>
      <c r="X412" s="491"/>
      <c r="Y412" s="491"/>
      <c r="Z412" s="491"/>
      <c r="AA412" s="491"/>
      <c r="AB412" s="491"/>
      <c r="AC412" s="491"/>
      <c r="AD412" s="491"/>
      <c r="AE412" s="491"/>
      <c r="AF412" s="491"/>
      <c r="AG412" s="491"/>
      <c r="AH412" s="193"/>
    </row>
    <row r="413" spans="1:34" ht="15.75" thickBot="1" x14ac:dyDescent="0.3">
      <c r="A413" s="193"/>
      <c r="B413" s="491"/>
      <c r="C413" s="500"/>
      <c r="D413" s="491"/>
      <c r="E413" s="491"/>
      <c r="F413" s="491"/>
      <c r="G413" s="491"/>
      <c r="H413" s="491"/>
      <c r="I413" s="491"/>
      <c r="J413" s="491"/>
      <c r="K413" s="491"/>
      <c r="L413" s="491"/>
      <c r="M413" s="491"/>
      <c r="N413" s="491"/>
      <c r="O413" s="491"/>
      <c r="P413" s="491"/>
      <c r="Q413" s="491"/>
      <c r="R413" s="213"/>
      <c r="S413" s="224"/>
      <c r="T413" s="220"/>
      <c r="U413" s="214"/>
      <c r="V413" s="491"/>
      <c r="W413" s="491"/>
      <c r="X413" s="491"/>
      <c r="Y413" s="491"/>
      <c r="Z413" s="491"/>
      <c r="AA413" s="491"/>
      <c r="AB413" s="491"/>
      <c r="AC413" s="491"/>
      <c r="AD413" s="491"/>
      <c r="AE413" s="491"/>
      <c r="AF413" s="491"/>
      <c r="AG413" s="491"/>
      <c r="AH413" s="193"/>
    </row>
    <row r="414" spans="1:34" x14ac:dyDescent="0.25">
      <c r="A414" s="193"/>
      <c r="B414" s="492"/>
      <c r="C414" s="501"/>
      <c r="D414" s="492"/>
      <c r="E414" s="492"/>
      <c r="F414" s="492"/>
      <c r="G414" s="492"/>
      <c r="H414" s="492"/>
      <c r="I414" s="492"/>
      <c r="J414" s="492"/>
      <c r="K414" s="492"/>
      <c r="L414" s="492"/>
      <c r="M414" s="492"/>
      <c r="N414" s="492"/>
      <c r="O414" s="492"/>
      <c r="P414" s="492"/>
      <c r="Q414" s="492"/>
      <c r="R414" s="221"/>
      <c r="S414" s="493">
        <f>L410/12</f>
        <v>2.5</v>
      </c>
      <c r="T414" s="493"/>
      <c r="U414" s="222"/>
      <c r="V414" s="492"/>
      <c r="W414" s="492"/>
      <c r="X414" s="492"/>
      <c r="Y414" s="492"/>
      <c r="Z414" s="492"/>
      <c r="AA414" s="492"/>
      <c r="AB414" s="492"/>
      <c r="AC414" s="492"/>
      <c r="AD414" s="492"/>
      <c r="AE414" s="492"/>
      <c r="AF414" s="492"/>
      <c r="AG414" s="492"/>
      <c r="AH414" s="193"/>
    </row>
    <row r="415" spans="1:34" x14ac:dyDescent="0.25">
      <c r="A415" s="193"/>
      <c r="B415" s="490"/>
      <c r="C415" s="490" t="s">
        <v>277</v>
      </c>
      <c r="D415" s="490">
        <v>5</v>
      </c>
      <c r="E415" s="490">
        <v>0.625</v>
      </c>
      <c r="F415" s="494">
        <v>16</v>
      </c>
      <c r="G415" s="229"/>
      <c r="H415" s="490"/>
      <c r="I415" s="490">
        <f>ROUNDUP(G405/F415,0)</f>
        <v>34</v>
      </c>
      <c r="J415" s="490">
        <v>1</v>
      </c>
      <c r="K415" s="490">
        <v>6</v>
      </c>
      <c r="L415" s="490">
        <f>4*12-2</f>
        <v>46</v>
      </c>
      <c r="M415" s="490">
        <f>11*12</f>
        <v>132</v>
      </c>
      <c r="N415" s="490"/>
      <c r="O415" s="490"/>
      <c r="P415" s="490"/>
      <c r="Q415" s="490"/>
      <c r="R415" s="213"/>
      <c r="S415" s="498"/>
      <c r="T415" s="498"/>
      <c r="U415" s="214"/>
      <c r="V415" s="490">
        <f>SUM(R415:U419)</f>
        <v>15.333333333333334</v>
      </c>
      <c r="W415" s="490">
        <f>+SUM(K415:Q419)</f>
        <v>184</v>
      </c>
      <c r="X415" s="490">
        <f>(+I415*J415*W415)/12</f>
        <v>521.33333333333337</v>
      </c>
      <c r="Y415" s="490">
        <f t="shared" ref="Y415:AF415" si="74">IF(Y$4=$D415,$X415*Y$5,0)</f>
        <v>0</v>
      </c>
      <c r="Z415" s="490">
        <f t="shared" si="74"/>
        <v>0</v>
      </c>
      <c r="AA415" s="490">
        <f t="shared" si="74"/>
        <v>543.75066666666669</v>
      </c>
      <c r="AB415" s="490">
        <f t="shared" si="74"/>
        <v>0</v>
      </c>
      <c r="AC415" s="490">
        <f t="shared" si="74"/>
        <v>0</v>
      </c>
      <c r="AD415" s="490">
        <f t="shared" si="74"/>
        <v>0</v>
      </c>
      <c r="AE415" s="490">
        <f t="shared" si="74"/>
        <v>0</v>
      </c>
      <c r="AF415" s="490">
        <f t="shared" si="74"/>
        <v>0</v>
      </c>
      <c r="AG415" s="490"/>
      <c r="AH415" s="193"/>
    </row>
    <row r="416" spans="1:34" x14ac:dyDescent="0.25">
      <c r="A416" s="193"/>
      <c r="B416" s="491"/>
      <c r="C416" s="491"/>
      <c r="D416" s="491"/>
      <c r="E416" s="491"/>
      <c r="F416" s="495"/>
      <c r="G416" s="230"/>
      <c r="H416" s="491"/>
      <c r="I416" s="491"/>
      <c r="J416" s="491"/>
      <c r="K416" s="491"/>
      <c r="L416" s="491"/>
      <c r="M416" s="491"/>
      <c r="N416" s="491"/>
      <c r="O416" s="491"/>
      <c r="P416" s="491"/>
      <c r="Q416" s="491"/>
      <c r="R416" s="213"/>
      <c r="S416" s="215"/>
      <c r="T416" s="216"/>
      <c r="U416" s="214"/>
      <c r="V416" s="491"/>
      <c r="W416" s="491"/>
      <c r="X416" s="491"/>
      <c r="Y416" s="491"/>
      <c r="Z416" s="491"/>
      <c r="AA416" s="491"/>
      <c r="AB416" s="491"/>
      <c r="AC416" s="491"/>
      <c r="AD416" s="491"/>
      <c r="AE416" s="491"/>
      <c r="AF416" s="491"/>
      <c r="AG416" s="491"/>
      <c r="AH416" s="193"/>
    </row>
    <row r="417" spans="1:34" x14ac:dyDescent="0.25">
      <c r="A417" s="193"/>
      <c r="B417" s="491"/>
      <c r="C417" s="491"/>
      <c r="D417" s="491"/>
      <c r="E417" s="491"/>
      <c r="F417" s="495"/>
      <c r="G417" s="230"/>
      <c r="H417" s="491"/>
      <c r="I417" s="491"/>
      <c r="J417" s="491"/>
      <c r="K417" s="491"/>
      <c r="L417" s="491"/>
      <c r="M417" s="491"/>
      <c r="N417" s="491"/>
      <c r="O417" s="491"/>
      <c r="P417" s="491"/>
      <c r="Q417" s="491"/>
      <c r="R417" s="225">
        <f>K415/12</f>
        <v>0.5</v>
      </c>
      <c r="S417" s="218"/>
      <c r="T417" s="218"/>
      <c r="U417" s="219"/>
      <c r="V417" s="491"/>
      <c r="W417" s="491"/>
      <c r="X417" s="491"/>
      <c r="Y417" s="491"/>
      <c r="Z417" s="491"/>
      <c r="AA417" s="491"/>
      <c r="AB417" s="491"/>
      <c r="AC417" s="491"/>
      <c r="AD417" s="491"/>
      <c r="AE417" s="491"/>
      <c r="AF417" s="491"/>
      <c r="AG417" s="491"/>
      <c r="AH417" s="193"/>
    </row>
    <row r="418" spans="1:34" ht="15.75" thickBot="1" x14ac:dyDescent="0.3">
      <c r="A418" s="193"/>
      <c r="B418" s="491"/>
      <c r="C418" s="491"/>
      <c r="D418" s="491"/>
      <c r="E418" s="491"/>
      <c r="F418" s="495"/>
      <c r="G418" s="230"/>
      <c r="H418" s="491"/>
      <c r="I418" s="491"/>
      <c r="J418" s="491"/>
      <c r="K418" s="491"/>
      <c r="L418" s="491"/>
      <c r="M418" s="491"/>
      <c r="N418" s="491"/>
      <c r="O418" s="491"/>
      <c r="P418" s="491"/>
      <c r="Q418" s="491"/>
      <c r="R418" s="226"/>
      <c r="S418" s="220"/>
      <c r="T418" s="220"/>
      <c r="U418" s="214"/>
      <c r="V418" s="491"/>
      <c r="W418" s="491"/>
      <c r="X418" s="491"/>
      <c r="Y418" s="491"/>
      <c r="Z418" s="491"/>
      <c r="AA418" s="491"/>
      <c r="AB418" s="491"/>
      <c r="AC418" s="491"/>
      <c r="AD418" s="491"/>
      <c r="AE418" s="491"/>
      <c r="AF418" s="491"/>
      <c r="AG418" s="491"/>
      <c r="AH418" s="193"/>
    </row>
    <row r="419" spans="1:34" x14ac:dyDescent="0.25">
      <c r="A419" s="193"/>
      <c r="B419" s="492"/>
      <c r="C419" s="492"/>
      <c r="D419" s="491"/>
      <c r="E419" s="491"/>
      <c r="F419" s="496"/>
      <c r="G419" s="231"/>
      <c r="H419" s="492"/>
      <c r="I419" s="492"/>
      <c r="J419" s="492"/>
      <c r="K419" s="492"/>
      <c r="L419" s="492"/>
      <c r="M419" s="492"/>
      <c r="N419" s="492"/>
      <c r="O419" s="492"/>
      <c r="P419" s="492"/>
      <c r="Q419" s="492"/>
      <c r="R419" s="221"/>
      <c r="S419" s="493">
        <f>+SUM(L415:M419)/12</f>
        <v>14.833333333333334</v>
      </c>
      <c r="T419" s="493"/>
      <c r="U419" s="222"/>
      <c r="V419" s="492"/>
      <c r="W419" s="492"/>
      <c r="X419" s="492"/>
      <c r="Y419" s="492"/>
      <c r="Z419" s="492"/>
      <c r="AA419" s="492"/>
      <c r="AB419" s="492"/>
      <c r="AC419" s="492"/>
      <c r="AD419" s="492"/>
      <c r="AE419" s="492"/>
      <c r="AF419" s="492"/>
      <c r="AG419" s="492"/>
      <c r="AH419" s="193"/>
    </row>
    <row r="420" spans="1:34" x14ac:dyDescent="0.25">
      <c r="A420" s="193"/>
      <c r="B420" s="490"/>
      <c r="C420" s="490" t="s">
        <v>286</v>
      </c>
      <c r="D420" s="490">
        <v>5</v>
      </c>
      <c r="E420" s="490">
        <v>0.625</v>
      </c>
      <c r="F420" s="494">
        <v>16</v>
      </c>
      <c r="G420" s="229"/>
      <c r="H420" s="490"/>
      <c r="I420" s="490">
        <f>ROUNDUP(M415/F420,0)</f>
        <v>9</v>
      </c>
      <c r="J420" s="490">
        <v>1</v>
      </c>
      <c r="K420" s="490"/>
      <c r="L420" s="490">
        <f>G403-2-2</f>
        <v>539.96</v>
      </c>
      <c r="M420" s="490"/>
      <c r="N420" s="490"/>
      <c r="O420" s="490"/>
      <c r="P420" s="490"/>
      <c r="Q420" s="490"/>
      <c r="R420" s="213"/>
      <c r="S420" s="498"/>
      <c r="T420" s="498"/>
      <c r="U420" s="214"/>
      <c r="V420" s="490">
        <f>SUM(R420:U424)</f>
        <v>44.99666666666667</v>
      </c>
      <c r="W420" s="490">
        <f>+SUM(K420:Q424)</f>
        <v>539.96</v>
      </c>
      <c r="X420" s="490">
        <f>(+I420*J420*W420)/12</f>
        <v>404.97</v>
      </c>
      <c r="Y420" s="490">
        <f t="shared" ref="Y420:AF420" si="75">IF(Y$4=$D420,$X420*Y$5,0)</f>
        <v>0</v>
      </c>
      <c r="Z420" s="490">
        <f t="shared" si="75"/>
        <v>0</v>
      </c>
      <c r="AA420" s="490">
        <f t="shared" si="75"/>
        <v>422.38371000000001</v>
      </c>
      <c r="AB420" s="490">
        <f t="shared" si="75"/>
        <v>0</v>
      </c>
      <c r="AC420" s="490">
        <f t="shared" si="75"/>
        <v>0</v>
      </c>
      <c r="AD420" s="490">
        <f t="shared" si="75"/>
        <v>0</v>
      </c>
      <c r="AE420" s="490">
        <f t="shared" si="75"/>
        <v>0</v>
      </c>
      <c r="AF420" s="490">
        <f t="shared" si="75"/>
        <v>0</v>
      </c>
      <c r="AG420" s="490"/>
      <c r="AH420" s="193"/>
    </row>
    <row r="421" spans="1:34" x14ac:dyDescent="0.25">
      <c r="A421" s="193"/>
      <c r="B421" s="491"/>
      <c r="C421" s="491"/>
      <c r="D421" s="491"/>
      <c r="E421" s="491"/>
      <c r="F421" s="495"/>
      <c r="G421" s="230"/>
      <c r="H421" s="491"/>
      <c r="I421" s="491"/>
      <c r="J421" s="491"/>
      <c r="K421" s="491"/>
      <c r="L421" s="491"/>
      <c r="M421" s="491"/>
      <c r="N421" s="491"/>
      <c r="O421" s="491"/>
      <c r="P421" s="491"/>
      <c r="Q421" s="491"/>
      <c r="R421" s="213"/>
      <c r="S421" s="215"/>
      <c r="T421" s="216"/>
      <c r="U421" s="214"/>
      <c r="V421" s="491"/>
      <c r="W421" s="491"/>
      <c r="X421" s="491"/>
      <c r="Y421" s="491"/>
      <c r="Z421" s="491"/>
      <c r="AA421" s="491"/>
      <c r="AB421" s="491"/>
      <c r="AC421" s="491"/>
      <c r="AD421" s="491"/>
      <c r="AE421" s="491"/>
      <c r="AF421" s="491"/>
      <c r="AG421" s="491"/>
      <c r="AH421" s="193"/>
    </row>
    <row r="422" spans="1:34" x14ac:dyDescent="0.25">
      <c r="A422" s="193"/>
      <c r="B422" s="491"/>
      <c r="C422" s="491"/>
      <c r="D422" s="491"/>
      <c r="E422" s="491"/>
      <c r="F422" s="495"/>
      <c r="G422" s="230"/>
      <c r="H422" s="491"/>
      <c r="I422" s="491"/>
      <c r="J422" s="491"/>
      <c r="K422" s="491"/>
      <c r="L422" s="491"/>
      <c r="M422" s="491"/>
      <c r="N422" s="491"/>
      <c r="O422" s="491"/>
      <c r="P422" s="491"/>
      <c r="Q422" s="497"/>
      <c r="R422" s="217"/>
      <c r="S422" s="218"/>
      <c r="T422" s="218"/>
      <c r="U422" s="219"/>
      <c r="V422" s="491"/>
      <c r="W422" s="491"/>
      <c r="X422" s="491"/>
      <c r="Y422" s="491"/>
      <c r="Z422" s="491"/>
      <c r="AA422" s="491"/>
      <c r="AB422" s="491"/>
      <c r="AC422" s="491"/>
      <c r="AD422" s="491"/>
      <c r="AE422" s="491"/>
      <c r="AF422" s="491"/>
      <c r="AG422" s="491"/>
      <c r="AH422" s="193"/>
    </row>
    <row r="423" spans="1:34" ht="15.75" thickBot="1" x14ac:dyDescent="0.3">
      <c r="A423" s="193"/>
      <c r="B423" s="491"/>
      <c r="C423" s="491"/>
      <c r="D423" s="491"/>
      <c r="E423" s="491"/>
      <c r="F423" s="495"/>
      <c r="G423" s="230"/>
      <c r="H423" s="491"/>
      <c r="I423" s="491"/>
      <c r="J423" s="491"/>
      <c r="K423" s="491"/>
      <c r="L423" s="491"/>
      <c r="M423" s="491"/>
      <c r="N423" s="491"/>
      <c r="O423" s="491"/>
      <c r="P423" s="491"/>
      <c r="Q423" s="497"/>
      <c r="R423" s="213"/>
      <c r="S423" s="220"/>
      <c r="T423" s="220"/>
      <c r="U423" s="214"/>
      <c r="V423" s="491"/>
      <c r="W423" s="491"/>
      <c r="X423" s="491"/>
      <c r="Y423" s="491"/>
      <c r="Z423" s="491"/>
      <c r="AA423" s="491"/>
      <c r="AB423" s="491"/>
      <c r="AC423" s="491"/>
      <c r="AD423" s="491"/>
      <c r="AE423" s="491"/>
      <c r="AF423" s="491"/>
      <c r="AG423" s="491"/>
      <c r="AH423" s="193"/>
    </row>
    <row r="424" spans="1:34" x14ac:dyDescent="0.25">
      <c r="A424" s="193"/>
      <c r="B424" s="492"/>
      <c r="C424" s="492"/>
      <c r="D424" s="491"/>
      <c r="E424" s="491"/>
      <c r="F424" s="496"/>
      <c r="G424" s="231"/>
      <c r="H424" s="492"/>
      <c r="I424" s="492"/>
      <c r="J424" s="492"/>
      <c r="K424" s="492"/>
      <c r="L424" s="492"/>
      <c r="M424" s="492"/>
      <c r="N424" s="492"/>
      <c r="O424" s="492"/>
      <c r="P424" s="492"/>
      <c r="Q424" s="492"/>
      <c r="R424" s="221"/>
      <c r="S424" s="493">
        <f>L420/12</f>
        <v>44.99666666666667</v>
      </c>
      <c r="T424" s="493"/>
      <c r="U424" s="222"/>
      <c r="V424" s="492"/>
      <c r="W424" s="492"/>
      <c r="X424" s="492"/>
      <c r="Y424" s="492"/>
      <c r="Z424" s="492"/>
      <c r="AA424" s="492"/>
      <c r="AB424" s="492"/>
      <c r="AC424" s="492"/>
      <c r="AD424" s="492"/>
      <c r="AE424" s="492"/>
      <c r="AF424" s="492"/>
      <c r="AG424" s="492"/>
      <c r="AH424" s="193"/>
    </row>
    <row r="425" spans="1:34" ht="15.75" thickBot="1" x14ac:dyDescent="0.3">
      <c r="A425" s="195"/>
      <c r="B425" s="200" t="s">
        <v>304</v>
      </c>
      <c r="C425" s="199" t="s">
        <v>283</v>
      </c>
      <c r="D425" s="197">
        <v>60</v>
      </c>
      <c r="E425" s="201">
        <v>8</v>
      </c>
      <c r="F425" s="202"/>
      <c r="G425" s="202">
        <f>78.17*12</f>
        <v>938.04</v>
      </c>
      <c r="H425" s="202">
        <v>16</v>
      </c>
      <c r="I425" s="202">
        <v>12</v>
      </c>
      <c r="J425" s="202">
        <v>12</v>
      </c>
      <c r="K425" s="199"/>
      <c r="L425" s="199"/>
      <c r="M425" s="199"/>
      <c r="N425" s="199"/>
      <c r="O425" s="199"/>
      <c r="P425" s="199"/>
      <c r="Q425" s="198"/>
      <c r="R425" s="196"/>
      <c r="S425" s="196"/>
      <c r="T425" s="196"/>
      <c r="U425" s="196"/>
      <c r="V425" s="203"/>
      <c r="W425" s="202"/>
      <c r="X425" s="202"/>
      <c r="Y425" s="199"/>
      <c r="Z425" s="199"/>
      <c r="AA425" s="199"/>
      <c r="AB425" s="199"/>
      <c r="AC425" s="199"/>
      <c r="AD425" s="199"/>
      <c r="AE425" s="199"/>
      <c r="AF425" s="199"/>
      <c r="AG425" s="199"/>
      <c r="AH425" s="195"/>
    </row>
    <row r="426" spans="1:34" ht="15.75" thickBot="1" x14ac:dyDescent="0.3">
      <c r="A426" s="193"/>
      <c r="B426" s="204"/>
      <c r="C426" s="205"/>
      <c r="D426" s="194"/>
      <c r="E426" s="206"/>
      <c r="F426" s="205"/>
      <c r="G426" s="205"/>
      <c r="H426" s="207">
        <v>3</v>
      </c>
      <c r="I426" s="207">
        <v>2</v>
      </c>
      <c r="J426" s="205"/>
      <c r="K426" s="205"/>
      <c r="L426" s="205"/>
      <c r="M426" s="205"/>
      <c r="N426" s="205"/>
      <c r="O426" s="205"/>
      <c r="P426" s="205"/>
      <c r="Q426" s="208"/>
      <c r="R426" s="209"/>
      <c r="S426" s="210"/>
      <c r="T426" s="210"/>
      <c r="U426" s="211"/>
      <c r="V426" s="212"/>
      <c r="W426" s="204"/>
      <c r="X426" s="204"/>
      <c r="Y426" s="205"/>
      <c r="Z426" s="205"/>
      <c r="AA426" s="205"/>
      <c r="AB426" s="205"/>
      <c r="AC426" s="205"/>
      <c r="AD426" s="205"/>
      <c r="AE426" s="205"/>
      <c r="AF426" s="205"/>
      <c r="AG426" s="205"/>
      <c r="AH426" s="193"/>
    </row>
    <row r="427" spans="1:34" x14ac:dyDescent="0.25">
      <c r="A427" s="193"/>
      <c r="B427" s="490"/>
      <c r="C427" s="499" t="s">
        <v>265</v>
      </c>
      <c r="D427" s="490">
        <v>5</v>
      </c>
      <c r="E427" s="490">
        <v>0.625</v>
      </c>
      <c r="F427" s="490"/>
      <c r="G427" s="490">
        <f>G425</f>
        <v>938.04</v>
      </c>
      <c r="H427" s="490"/>
      <c r="I427" s="490">
        <v>2</v>
      </c>
      <c r="J427" s="490">
        <v>1</v>
      </c>
      <c r="K427" s="490"/>
      <c r="L427" s="490">
        <f>G425-2-2</f>
        <v>934.04</v>
      </c>
      <c r="M427" s="490"/>
      <c r="N427" s="490"/>
      <c r="O427" s="490"/>
      <c r="P427" s="490"/>
      <c r="Q427" s="490"/>
      <c r="R427" s="213"/>
      <c r="S427" s="502"/>
      <c r="T427" s="502"/>
      <c r="U427" s="214"/>
      <c r="V427" s="490">
        <f>SUM(R427:U431)</f>
        <v>77.836666666666659</v>
      </c>
      <c r="W427" s="490">
        <f>+SUM(K427:Q431)</f>
        <v>934.04</v>
      </c>
      <c r="X427" s="490">
        <f>(+I427*J427*W427)/12</f>
        <v>155.67333333333332</v>
      </c>
      <c r="Y427" s="490">
        <f>IF(Y$4=$D427,$X427*Y$5,0)</f>
        <v>0</v>
      </c>
      <c r="Z427" s="490">
        <f t="shared" ref="Z427:AF427" si="76">IF(Z$4=$D427,$X427*Z$5,0)</f>
        <v>0</v>
      </c>
      <c r="AA427" s="490">
        <f t="shared" si="76"/>
        <v>162.36728666666664</v>
      </c>
      <c r="AB427" s="490">
        <f t="shared" si="76"/>
        <v>0</v>
      </c>
      <c r="AC427" s="490">
        <f t="shared" si="76"/>
        <v>0</v>
      </c>
      <c r="AD427" s="490">
        <f t="shared" si="76"/>
        <v>0</v>
      </c>
      <c r="AE427" s="490">
        <f t="shared" si="76"/>
        <v>0</v>
      </c>
      <c r="AF427" s="490">
        <f t="shared" si="76"/>
        <v>0</v>
      </c>
      <c r="AG427" s="490"/>
      <c r="AH427" s="193"/>
    </row>
    <row r="428" spans="1:34" x14ac:dyDescent="0.25">
      <c r="A428" s="193"/>
      <c r="B428" s="491"/>
      <c r="C428" s="500"/>
      <c r="D428" s="491"/>
      <c r="E428" s="491"/>
      <c r="F428" s="491"/>
      <c r="G428" s="491"/>
      <c r="H428" s="491"/>
      <c r="I428" s="491"/>
      <c r="J428" s="491"/>
      <c r="K428" s="491"/>
      <c r="L428" s="491"/>
      <c r="M428" s="491"/>
      <c r="N428" s="491"/>
      <c r="O428" s="491"/>
      <c r="P428" s="491"/>
      <c r="Q428" s="491"/>
      <c r="R428" s="213"/>
      <c r="S428" s="215"/>
      <c r="T428" s="216"/>
      <c r="U428" s="214"/>
      <c r="V428" s="491"/>
      <c r="W428" s="491"/>
      <c r="X428" s="491"/>
      <c r="Y428" s="491"/>
      <c r="Z428" s="491"/>
      <c r="AA428" s="491"/>
      <c r="AB428" s="491"/>
      <c r="AC428" s="491"/>
      <c r="AD428" s="491"/>
      <c r="AE428" s="491"/>
      <c r="AF428" s="491"/>
      <c r="AG428" s="491"/>
      <c r="AH428" s="193"/>
    </row>
    <row r="429" spans="1:34" x14ac:dyDescent="0.25">
      <c r="A429" s="193"/>
      <c r="B429" s="491"/>
      <c r="C429" s="500"/>
      <c r="D429" s="491"/>
      <c r="E429" s="491"/>
      <c r="F429" s="491"/>
      <c r="G429" s="491"/>
      <c r="H429" s="491"/>
      <c r="I429" s="491"/>
      <c r="J429" s="491"/>
      <c r="K429" s="491"/>
      <c r="L429" s="491"/>
      <c r="M429" s="491"/>
      <c r="N429" s="491"/>
      <c r="O429" s="491"/>
      <c r="P429" s="491"/>
      <c r="Q429" s="491"/>
      <c r="R429" s="217"/>
      <c r="S429" s="218"/>
      <c r="T429" s="218"/>
      <c r="U429" s="219"/>
      <c r="V429" s="491"/>
      <c r="W429" s="491"/>
      <c r="X429" s="491"/>
      <c r="Y429" s="491"/>
      <c r="Z429" s="491"/>
      <c r="AA429" s="491"/>
      <c r="AB429" s="491"/>
      <c r="AC429" s="491"/>
      <c r="AD429" s="491"/>
      <c r="AE429" s="491"/>
      <c r="AF429" s="491"/>
      <c r="AG429" s="491"/>
      <c r="AH429" s="193"/>
    </row>
    <row r="430" spans="1:34" ht="15.75" thickBot="1" x14ac:dyDescent="0.3">
      <c r="A430" s="193"/>
      <c r="B430" s="491"/>
      <c r="C430" s="500"/>
      <c r="D430" s="491"/>
      <c r="E430" s="491"/>
      <c r="F430" s="491"/>
      <c r="G430" s="491"/>
      <c r="H430" s="491"/>
      <c r="I430" s="491"/>
      <c r="J430" s="491"/>
      <c r="K430" s="491"/>
      <c r="L430" s="491"/>
      <c r="M430" s="491"/>
      <c r="N430" s="491"/>
      <c r="O430" s="491"/>
      <c r="P430" s="491"/>
      <c r="Q430" s="491"/>
      <c r="R430" s="213"/>
      <c r="S430" s="220"/>
      <c r="T430" s="220"/>
      <c r="U430" s="214"/>
      <c r="V430" s="491"/>
      <c r="W430" s="491"/>
      <c r="X430" s="491"/>
      <c r="Y430" s="491"/>
      <c r="Z430" s="491"/>
      <c r="AA430" s="491"/>
      <c r="AB430" s="491"/>
      <c r="AC430" s="491"/>
      <c r="AD430" s="491"/>
      <c r="AE430" s="491"/>
      <c r="AF430" s="491"/>
      <c r="AG430" s="491"/>
      <c r="AH430" s="193"/>
    </row>
    <row r="431" spans="1:34" x14ac:dyDescent="0.25">
      <c r="A431" s="193"/>
      <c r="B431" s="492"/>
      <c r="C431" s="501"/>
      <c r="D431" s="492"/>
      <c r="E431" s="492"/>
      <c r="F431" s="492"/>
      <c r="G431" s="492"/>
      <c r="H431" s="492"/>
      <c r="I431" s="492"/>
      <c r="J431" s="492"/>
      <c r="K431" s="492"/>
      <c r="L431" s="492"/>
      <c r="M431" s="492"/>
      <c r="N431" s="492"/>
      <c r="O431" s="492"/>
      <c r="P431" s="492"/>
      <c r="Q431" s="492"/>
      <c r="R431" s="221"/>
      <c r="S431" s="493">
        <f>L427/12</f>
        <v>77.836666666666659</v>
      </c>
      <c r="T431" s="493"/>
      <c r="U431" s="222"/>
      <c r="V431" s="492"/>
      <c r="W431" s="492"/>
      <c r="X431" s="492"/>
      <c r="Y431" s="492"/>
      <c r="Z431" s="492"/>
      <c r="AA431" s="492"/>
      <c r="AB431" s="492"/>
      <c r="AC431" s="492"/>
      <c r="AD431" s="492"/>
      <c r="AE431" s="492"/>
      <c r="AF431" s="492"/>
      <c r="AG431" s="492"/>
      <c r="AH431" s="193"/>
    </row>
    <row r="432" spans="1:34" x14ac:dyDescent="0.25">
      <c r="A432" s="193"/>
      <c r="B432" s="490"/>
      <c r="C432" s="499" t="s">
        <v>271</v>
      </c>
      <c r="D432" s="490">
        <v>5</v>
      </c>
      <c r="E432" s="490">
        <v>0.625</v>
      </c>
      <c r="F432" s="490"/>
      <c r="G432" s="490"/>
      <c r="H432" s="490"/>
      <c r="I432" s="490">
        <v>2</v>
      </c>
      <c r="J432" s="490">
        <v>2</v>
      </c>
      <c r="K432" s="490">
        <v>30</v>
      </c>
      <c r="L432" s="490">
        <v>30</v>
      </c>
      <c r="M432" s="490"/>
      <c r="N432" s="490"/>
      <c r="O432" s="490"/>
      <c r="P432" s="490"/>
      <c r="Q432" s="490"/>
      <c r="R432" s="213"/>
      <c r="S432" s="498"/>
      <c r="T432" s="498"/>
      <c r="U432" s="214"/>
      <c r="V432" s="490">
        <f>SUM(R432:U436)</f>
        <v>5</v>
      </c>
      <c r="W432" s="490">
        <f>+SUM(K432:Q436)</f>
        <v>60</v>
      </c>
      <c r="X432" s="490">
        <f>(+I432*J432*W432)/12</f>
        <v>20</v>
      </c>
      <c r="Y432" s="490">
        <f t="shared" ref="Y432:AF432" si="77">IF(Y$4=$D432,$X432*Y$5,0)</f>
        <v>0</v>
      </c>
      <c r="Z432" s="490">
        <f t="shared" si="77"/>
        <v>0</v>
      </c>
      <c r="AA432" s="490">
        <f t="shared" si="77"/>
        <v>20.86</v>
      </c>
      <c r="AB432" s="490">
        <f t="shared" si="77"/>
        <v>0</v>
      </c>
      <c r="AC432" s="490">
        <f t="shared" si="77"/>
        <v>0</v>
      </c>
      <c r="AD432" s="490">
        <f t="shared" si="77"/>
        <v>0</v>
      </c>
      <c r="AE432" s="490">
        <f t="shared" si="77"/>
        <v>0</v>
      </c>
      <c r="AF432" s="490">
        <f t="shared" si="77"/>
        <v>0</v>
      </c>
      <c r="AG432" s="490"/>
      <c r="AH432" s="193"/>
    </row>
    <row r="433" spans="1:34" x14ac:dyDescent="0.25">
      <c r="A433" s="193"/>
      <c r="B433" s="491"/>
      <c r="C433" s="500"/>
      <c r="D433" s="491"/>
      <c r="E433" s="491"/>
      <c r="F433" s="491"/>
      <c r="G433" s="491"/>
      <c r="H433" s="491"/>
      <c r="I433" s="491"/>
      <c r="J433" s="491"/>
      <c r="K433" s="491"/>
      <c r="L433" s="491"/>
      <c r="M433" s="491"/>
      <c r="N433" s="491"/>
      <c r="O433" s="491"/>
      <c r="P433" s="491"/>
      <c r="Q433" s="491"/>
      <c r="R433" s="213"/>
      <c r="S433" s="215"/>
      <c r="T433" s="216"/>
      <c r="U433" s="214"/>
      <c r="V433" s="491"/>
      <c r="W433" s="491"/>
      <c r="X433" s="491"/>
      <c r="Y433" s="491"/>
      <c r="Z433" s="491"/>
      <c r="AA433" s="491"/>
      <c r="AB433" s="491"/>
      <c r="AC433" s="491"/>
      <c r="AD433" s="491"/>
      <c r="AE433" s="491"/>
      <c r="AF433" s="491"/>
      <c r="AG433" s="491"/>
      <c r="AH433" s="193"/>
    </row>
    <row r="434" spans="1:34" x14ac:dyDescent="0.25">
      <c r="A434" s="193"/>
      <c r="B434" s="491"/>
      <c r="C434" s="500"/>
      <c r="D434" s="491"/>
      <c r="E434" s="491"/>
      <c r="F434" s="491"/>
      <c r="G434" s="491"/>
      <c r="H434" s="491"/>
      <c r="I434" s="491"/>
      <c r="J434" s="491"/>
      <c r="K434" s="491"/>
      <c r="L434" s="491"/>
      <c r="M434" s="491"/>
      <c r="N434" s="491"/>
      <c r="O434" s="491"/>
      <c r="P434" s="491"/>
      <c r="Q434" s="491"/>
      <c r="R434" s="217">
        <f>K432/12</f>
        <v>2.5</v>
      </c>
      <c r="S434" s="223"/>
      <c r="T434" s="195"/>
      <c r="U434" s="219"/>
      <c r="V434" s="491"/>
      <c r="W434" s="491"/>
      <c r="X434" s="491"/>
      <c r="Y434" s="491"/>
      <c r="Z434" s="491"/>
      <c r="AA434" s="491"/>
      <c r="AB434" s="491"/>
      <c r="AC434" s="491"/>
      <c r="AD434" s="491"/>
      <c r="AE434" s="491"/>
      <c r="AF434" s="491"/>
      <c r="AG434" s="491"/>
      <c r="AH434" s="193"/>
    </row>
    <row r="435" spans="1:34" ht="15.75" thickBot="1" x14ac:dyDescent="0.3">
      <c r="A435" s="193"/>
      <c r="B435" s="491"/>
      <c r="C435" s="500"/>
      <c r="D435" s="491"/>
      <c r="E435" s="491"/>
      <c r="F435" s="491"/>
      <c r="G435" s="491"/>
      <c r="H435" s="491"/>
      <c r="I435" s="491"/>
      <c r="J435" s="491"/>
      <c r="K435" s="491"/>
      <c r="L435" s="491"/>
      <c r="M435" s="491"/>
      <c r="N435" s="491"/>
      <c r="O435" s="491"/>
      <c r="P435" s="491"/>
      <c r="Q435" s="491"/>
      <c r="R435" s="213"/>
      <c r="S435" s="224"/>
      <c r="T435" s="220"/>
      <c r="U435" s="214"/>
      <c r="V435" s="491"/>
      <c r="W435" s="491"/>
      <c r="X435" s="491"/>
      <c r="Y435" s="491"/>
      <c r="Z435" s="491"/>
      <c r="AA435" s="491"/>
      <c r="AB435" s="491"/>
      <c r="AC435" s="491"/>
      <c r="AD435" s="491"/>
      <c r="AE435" s="491"/>
      <c r="AF435" s="491"/>
      <c r="AG435" s="491"/>
      <c r="AH435" s="193"/>
    </row>
    <row r="436" spans="1:34" x14ac:dyDescent="0.25">
      <c r="A436" s="193"/>
      <c r="B436" s="492"/>
      <c r="C436" s="501"/>
      <c r="D436" s="492"/>
      <c r="E436" s="492"/>
      <c r="F436" s="492"/>
      <c r="G436" s="492"/>
      <c r="H436" s="492"/>
      <c r="I436" s="492"/>
      <c r="J436" s="492"/>
      <c r="K436" s="492"/>
      <c r="L436" s="492"/>
      <c r="M436" s="492"/>
      <c r="N436" s="492"/>
      <c r="O436" s="492"/>
      <c r="P436" s="492"/>
      <c r="Q436" s="492"/>
      <c r="R436" s="221"/>
      <c r="S436" s="493">
        <f>L432/12</f>
        <v>2.5</v>
      </c>
      <c r="T436" s="493"/>
      <c r="U436" s="222"/>
      <c r="V436" s="492"/>
      <c r="W436" s="492"/>
      <c r="X436" s="492"/>
      <c r="Y436" s="492"/>
      <c r="Z436" s="492"/>
      <c r="AA436" s="492"/>
      <c r="AB436" s="492"/>
      <c r="AC436" s="492"/>
      <c r="AD436" s="492"/>
      <c r="AE436" s="492"/>
      <c r="AF436" s="492"/>
      <c r="AG436" s="492"/>
      <c r="AH436" s="193"/>
    </row>
    <row r="437" spans="1:34" x14ac:dyDescent="0.25">
      <c r="A437" s="193"/>
      <c r="B437" s="490"/>
      <c r="C437" s="490" t="s">
        <v>277</v>
      </c>
      <c r="D437" s="490">
        <v>5</v>
      </c>
      <c r="E437" s="490">
        <v>0.625</v>
      </c>
      <c r="F437" s="494">
        <v>16</v>
      </c>
      <c r="G437" s="229"/>
      <c r="H437" s="490"/>
      <c r="I437" s="490">
        <f>ROUNDUP(G427/F437,0)</f>
        <v>59</v>
      </c>
      <c r="J437" s="490">
        <v>1</v>
      </c>
      <c r="K437" s="490">
        <v>6</v>
      </c>
      <c r="L437" s="490">
        <f>4*12-2</f>
        <v>46</v>
      </c>
      <c r="M437" s="490">
        <f>11*12</f>
        <v>132</v>
      </c>
      <c r="N437" s="490"/>
      <c r="O437" s="490"/>
      <c r="P437" s="490"/>
      <c r="Q437" s="490"/>
      <c r="R437" s="213"/>
      <c r="S437" s="498"/>
      <c r="T437" s="498"/>
      <c r="U437" s="214"/>
      <c r="V437" s="490">
        <f>SUM(R437:U441)</f>
        <v>15.333333333333334</v>
      </c>
      <c r="W437" s="490">
        <f>+SUM(K437:Q441)</f>
        <v>184</v>
      </c>
      <c r="X437" s="490">
        <f>(+I437*J437*W437)/12</f>
        <v>904.66666666666663</v>
      </c>
      <c r="Y437" s="490">
        <f t="shared" ref="Y437:AF437" si="78">IF(Y$4=$D437,$X437*Y$5,0)</f>
        <v>0</v>
      </c>
      <c r="Z437" s="490">
        <f t="shared" si="78"/>
        <v>0</v>
      </c>
      <c r="AA437" s="490">
        <f t="shared" si="78"/>
        <v>943.56733333333318</v>
      </c>
      <c r="AB437" s="490">
        <f t="shared" si="78"/>
        <v>0</v>
      </c>
      <c r="AC437" s="490">
        <f t="shared" si="78"/>
        <v>0</v>
      </c>
      <c r="AD437" s="490">
        <f t="shared" si="78"/>
        <v>0</v>
      </c>
      <c r="AE437" s="490">
        <f t="shared" si="78"/>
        <v>0</v>
      </c>
      <c r="AF437" s="490">
        <f t="shared" si="78"/>
        <v>0</v>
      </c>
      <c r="AG437" s="490"/>
      <c r="AH437" s="193"/>
    </row>
    <row r="438" spans="1:34" x14ac:dyDescent="0.25">
      <c r="A438" s="193"/>
      <c r="B438" s="491"/>
      <c r="C438" s="491"/>
      <c r="D438" s="491"/>
      <c r="E438" s="491"/>
      <c r="F438" s="495"/>
      <c r="G438" s="230"/>
      <c r="H438" s="491"/>
      <c r="I438" s="491"/>
      <c r="J438" s="491"/>
      <c r="K438" s="491"/>
      <c r="L438" s="491"/>
      <c r="M438" s="491"/>
      <c r="N438" s="491"/>
      <c r="O438" s="491"/>
      <c r="P438" s="491"/>
      <c r="Q438" s="491"/>
      <c r="R438" s="213"/>
      <c r="S438" s="215"/>
      <c r="T438" s="216"/>
      <c r="U438" s="214"/>
      <c r="V438" s="491"/>
      <c r="W438" s="491"/>
      <c r="X438" s="491"/>
      <c r="Y438" s="491"/>
      <c r="Z438" s="491"/>
      <c r="AA438" s="491"/>
      <c r="AB438" s="491"/>
      <c r="AC438" s="491"/>
      <c r="AD438" s="491"/>
      <c r="AE438" s="491"/>
      <c r="AF438" s="491"/>
      <c r="AG438" s="491"/>
      <c r="AH438" s="193"/>
    </row>
    <row r="439" spans="1:34" x14ac:dyDescent="0.25">
      <c r="A439" s="193"/>
      <c r="B439" s="491"/>
      <c r="C439" s="491"/>
      <c r="D439" s="491"/>
      <c r="E439" s="491"/>
      <c r="F439" s="495"/>
      <c r="G439" s="230"/>
      <c r="H439" s="491"/>
      <c r="I439" s="491"/>
      <c r="J439" s="491"/>
      <c r="K439" s="491"/>
      <c r="L439" s="491"/>
      <c r="M439" s="491"/>
      <c r="N439" s="491"/>
      <c r="O439" s="491"/>
      <c r="P439" s="491"/>
      <c r="Q439" s="491"/>
      <c r="R439" s="225">
        <f>K437/12</f>
        <v>0.5</v>
      </c>
      <c r="S439" s="218"/>
      <c r="T439" s="218"/>
      <c r="U439" s="219"/>
      <c r="V439" s="491"/>
      <c r="W439" s="491"/>
      <c r="X439" s="491"/>
      <c r="Y439" s="491"/>
      <c r="Z439" s="491"/>
      <c r="AA439" s="491"/>
      <c r="AB439" s="491"/>
      <c r="AC439" s="491"/>
      <c r="AD439" s="491"/>
      <c r="AE439" s="491"/>
      <c r="AF439" s="491"/>
      <c r="AG439" s="491"/>
      <c r="AH439" s="193"/>
    </row>
    <row r="440" spans="1:34" ht="15.75" thickBot="1" x14ac:dyDescent="0.3">
      <c r="A440" s="193"/>
      <c r="B440" s="491"/>
      <c r="C440" s="491"/>
      <c r="D440" s="491"/>
      <c r="E440" s="491"/>
      <c r="F440" s="495"/>
      <c r="G440" s="230"/>
      <c r="H440" s="491"/>
      <c r="I440" s="491"/>
      <c r="J440" s="491"/>
      <c r="K440" s="491"/>
      <c r="L440" s="491"/>
      <c r="M440" s="491"/>
      <c r="N440" s="491"/>
      <c r="O440" s="491"/>
      <c r="P440" s="491"/>
      <c r="Q440" s="491"/>
      <c r="R440" s="226"/>
      <c r="S440" s="220"/>
      <c r="T440" s="220"/>
      <c r="U440" s="214"/>
      <c r="V440" s="491"/>
      <c r="W440" s="491"/>
      <c r="X440" s="491"/>
      <c r="Y440" s="491"/>
      <c r="Z440" s="491"/>
      <c r="AA440" s="491"/>
      <c r="AB440" s="491"/>
      <c r="AC440" s="491"/>
      <c r="AD440" s="491"/>
      <c r="AE440" s="491"/>
      <c r="AF440" s="491"/>
      <c r="AG440" s="491"/>
      <c r="AH440" s="193"/>
    </row>
    <row r="441" spans="1:34" x14ac:dyDescent="0.25">
      <c r="A441" s="193"/>
      <c r="B441" s="492"/>
      <c r="C441" s="492"/>
      <c r="D441" s="491"/>
      <c r="E441" s="491"/>
      <c r="F441" s="496"/>
      <c r="G441" s="231"/>
      <c r="H441" s="492"/>
      <c r="I441" s="492"/>
      <c r="J441" s="492"/>
      <c r="K441" s="492"/>
      <c r="L441" s="492"/>
      <c r="M441" s="492"/>
      <c r="N441" s="492"/>
      <c r="O441" s="492"/>
      <c r="P441" s="492"/>
      <c r="Q441" s="492"/>
      <c r="R441" s="221"/>
      <c r="S441" s="493">
        <f>+SUM(L437:M441)/12</f>
        <v>14.833333333333334</v>
      </c>
      <c r="T441" s="493"/>
      <c r="U441" s="222"/>
      <c r="V441" s="492"/>
      <c r="W441" s="492"/>
      <c r="X441" s="492"/>
      <c r="Y441" s="492"/>
      <c r="Z441" s="492"/>
      <c r="AA441" s="492"/>
      <c r="AB441" s="492"/>
      <c r="AC441" s="492"/>
      <c r="AD441" s="492"/>
      <c r="AE441" s="492"/>
      <c r="AF441" s="492"/>
      <c r="AG441" s="492"/>
      <c r="AH441" s="193"/>
    </row>
    <row r="442" spans="1:34" x14ac:dyDescent="0.25">
      <c r="A442" s="193"/>
      <c r="B442" s="490"/>
      <c r="C442" s="490" t="s">
        <v>286</v>
      </c>
      <c r="D442" s="490">
        <v>5</v>
      </c>
      <c r="E442" s="490">
        <v>0.625</v>
      </c>
      <c r="F442" s="494">
        <v>16</v>
      </c>
      <c r="G442" s="229"/>
      <c r="H442" s="490"/>
      <c r="I442" s="490">
        <f>ROUNDUP(M437/F442,0)</f>
        <v>9</v>
      </c>
      <c r="J442" s="490">
        <v>1</v>
      </c>
      <c r="K442" s="490"/>
      <c r="L442" s="490">
        <f>G425-2-2</f>
        <v>934.04</v>
      </c>
      <c r="M442" s="490"/>
      <c r="N442" s="490"/>
      <c r="O442" s="490"/>
      <c r="P442" s="490"/>
      <c r="Q442" s="490"/>
      <c r="R442" s="213"/>
      <c r="S442" s="498"/>
      <c r="T442" s="498"/>
      <c r="U442" s="214"/>
      <c r="V442" s="490">
        <f>SUM(R442:U446)</f>
        <v>77.836666666666659</v>
      </c>
      <c r="W442" s="490">
        <f>+SUM(K442:Q446)</f>
        <v>934.04</v>
      </c>
      <c r="X442" s="490">
        <f>(+I442*J442*W442)/12</f>
        <v>700.53000000000009</v>
      </c>
      <c r="Y442" s="490">
        <f t="shared" ref="Y442:AF442" si="79">IF(Y$4=$D442,$X442*Y$5,0)</f>
        <v>0</v>
      </c>
      <c r="Z442" s="490">
        <f t="shared" si="79"/>
        <v>0</v>
      </c>
      <c r="AA442" s="490">
        <f t="shared" si="79"/>
        <v>730.6527900000001</v>
      </c>
      <c r="AB442" s="490">
        <f t="shared" si="79"/>
        <v>0</v>
      </c>
      <c r="AC442" s="490">
        <f t="shared" si="79"/>
        <v>0</v>
      </c>
      <c r="AD442" s="490">
        <f t="shared" si="79"/>
        <v>0</v>
      </c>
      <c r="AE442" s="490">
        <f t="shared" si="79"/>
        <v>0</v>
      </c>
      <c r="AF442" s="490">
        <f t="shared" si="79"/>
        <v>0</v>
      </c>
      <c r="AG442" s="490"/>
      <c r="AH442" s="193"/>
    </row>
    <row r="443" spans="1:34" x14ac:dyDescent="0.25">
      <c r="A443" s="193"/>
      <c r="B443" s="491"/>
      <c r="C443" s="491"/>
      <c r="D443" s="491"/>
      <c r="E443" s="491"/>
      <c r="F443" s="495"/>
      <c r="G443" s="230"/>
      <c r="H443" s="491"/>
      <c r="I443" s="491"/>
      <c r="J443" s="491"/>
      <c r="K443" s="491"/>
      <c r="L443" s="491"/>
      <c r="M443" s="491"/>
      <c r="N443" s="491"/>
      <c r="O443" s="491"/>
      <c r="P443" s="491"/>
      <c r="Q443" s="491"/>
      <c r="R443" s="213"/>
      <c r="S443" s="215"/>
      <c r="T443" s="216"/>
      <c r="U443" s="214"/>
      <c r="V443" s="491"/>
      <c r="W443" s="491"/>
      <c r="X443" s="491"/>
      <c r="Y443" s="491"/>
      <c r="Z443" s="491"/>
      <c r="AA443" s="491"/>
      <c r="AB443" s="491"/>
      <c r="AC443" s="491"/>
      <c r="AD443" s="491"/>
      <c r="AE443" s="491"/>
      <c r="AF443" s="491"/>
      <c r="AG443" s="491"/>
      <c r="AH443" s="193"/>
    </row>
    <row r="444" spans="1:34" x14ac:dyDescent="0.25">
      <c r="A444" s="193"/>
      <c r="B444" s="491"/>
      <c r="C444" s="491"/>
      <c r="D444" s="491"/>
      <c r="E444" s="491"/>
      <c r="F444" s="495"/>
      <c r="G444" s="230"/>
      <c r="H444" s="491"/>
      <c r="I444" s="491"/>
      <c r="J444" s="491"/>
      <c r="K444" s="491"/>
      <c r="L444" s="491"/>
      <c r="M444" s="491"/>
      <c r="N444" s="491"/>
      <c r="O444" s="491"/>
      <c r="P444" s="491"/>
      <c r="Q444" s="497"/>
      <c r="R444" s="217"/>
      <c r="S444" s="218"/>
      <c r="T444" s="218"/>
      <c r="U444" s="219"/>
      <c r="V444" s="491"/>
      <c r="W444" s="491"/>
      <c r="X444" s="491"/>
      <c r="Y444" s="491"/>
      <c r="Z444" s="491"/>
      <c r="AA444" s="491"/>
      <c r="AB444" s="491"/>
      <c r="AC444" s="491"/>
      <c r="AD444" s="491"/>
      <c r="AE444" s="491"/>
      <c r="AF444" s="491"/>
      <c r="AG444" s="491"/>
      <c r="AH444" s="193"/>
    </row>
    <row r="445" spans="1:34" ht="15.75" thickBot="1" x14ac:dyDescent="0.3">
      <c r="A445" s="193"/>
      <c r="B445" s="491"/>
      <c r="C445" s="491"/>
      <c r="D445" s="491"/>
      <c r="E445" s="491"/>
      <c r="F445" s="495"/>
      <c r="G445" s="230"/>
      <c r="H445" s="491"/>
      <c r="I445" s="491"/>
      <c r="J445" s="491"/>
      <c r="K445" s="491"/>
      <c r="L445" s="491"/>
      <c r="M445" s="491"/>
      <c r="N445" s="491"/>
      <c r="O445" s="491"/>
      <c r="P445" s="491"/>
      <c r="Q445" s="497"/>
      <c r="R445" s="213"/>
      <c r="S445" s="220"/>
      <c r="T445" s="220"/>
      <c r="U445" s="214"/>
      <c r="V445" s="491"/>
      <c r="W445" s="491"/>
      <c r="X445" s="491"/>
      <c r="Y445" s="491"/>
      <c r="Z445" s="491"/>
      <c r="AA445" s="491"/>
      <c r="AB445" s="491"/>
      <c r="AC445" s="491"/>
      <c r="AD445" s="491"/>
      <c r="AE445" s="491"/>
      <c r="AF445" s="491"/>
      <c r="AG445" s="491"/>
      <c r="AH445" s="193"/>
    </row>
    <row r="446" spans="1:34" x14ac:dyDescent="0.25">
      <c r="A446" s="193"/>
      <c r="B446" s="492"/>
      <c r="C446" s="492"/>
      <c r="D446" s="491"/>
      <c r="E446" s="491"/>
      <c r="F446" s="496"/>
      <c r="G446" s="231"/>
      <c r="H446" s="492"/>
      <c r="I446" s="492"/>
      <c r="J446" s="492"/>
      <c r="K446" s="492"/>
      <c r="L446" s="492"/>
      <c r="M446" s="492"/>
      <c r="N446" s="492"/>
      <c r="O446" s="492"/>
      <c r="P446" s="492"/>
      <c r="Q446" s="492"/>
      <c r="R446" s="221"/>
      <c r="S446" s="493">
        <f>L442/12</f>
        <v>77.836666666666659</v>
      </c>
      <c r="T446" s="493"/>
      <c r="U446" s="222"/>
      <c r="V446" s="492"/>
      <c r="W446" s="492"/>
      <c r="X446" s="492"/>
      <c r="Y446" s="492"/>
      <c r="Z446" s="492"/>
      <c r="AA446" s="492"/>
      <c r="AB446" s="492"/>
      <c r="AC446" s="492"/>
      <c r="AD446" s="492"/>
      <c r="AE446" s="492"/>
      <c r="AF446" s="492"/>
      <c r="AG446" s="492"/>
      <c r="AH446" s="193"/>
    </row>
    <row r="447" spans="1:34" ht="15.75" thickBot="1" x14ac:dyDescent="0.3">
      <c r="A447" s="195"/>
      <c r="B447" s="200" t="s">
        <v>305</v>
      </c>
      <c r="C447" s="199" t="s">
        <v>283</v>
      </c>
      <c r="D447" s="197">
        <v>60</v>
      </c>
      <c r="E447" s="201">
        <v>8</v>
      </c>
      <c r="F447" s="202"/>
      <c r="G447" s="202">
        <f>7.33*12</f>
        <v>87.960000000000008</v>
      </c>
      <c r="H447" s="202">
        <v>16</v>
      </c>
      <c r="I447" s="202">
        <v>12</v>
      </c>
      <c r="J447" s="202">
        <v>12</v>
      </c>
      <c r="K447" s="199"/>
      <c r="L447" s="199"/>
      <c r="M447" s="199"/>
      <c r="N447" s="199"/>
      <c r="O447" s="199"/>
      <c r="P447" s="199"/>
      <c r="Q447" s="198"/>
      <c r="R447" s="196"/>
      <c r="S447" s="196"/>
      <c r="T447" s="196"/>
      <c r="U447" s="196"/>
      <c r="V447" s="203"/>
      <c r="W447" s="202"/>
      <c r="X447" s="202"/>
      <c r="Y447" s="199"/>
      <c r="Z447" s="199"/>
      <c r="AA447" s="199"/>
      <c r="AB447" s="199"/>
      <c r="AC447" s="199"/>
      <c r="AD447" s="199"/>
      <c r="AE447" s="199"/>
      <c r="AF447" s="199"/>
      <c r="AG447" s="199"/>
      <c r="AH447" s="195"/>
    </row>
    <row r="448" spans="1:34" ht="15.75" thickBot="1" x14ac:dyDescent="0.3">
      <c r="A448" s="193"/>
      <c r="B448" s="204"/>
      <c r="C448" s="205"/>
      <c r="D448" s="194"/>
      <c r="E448" s="206"/>
      <c r="F448" s="205"/>
      <c r="G448" s="205"/>
      <c r="H448" s="207">
        <v>3</v>
      </c>
      <c r="I448" s="207">
        <v>2</v>
      </c>
      <c r="J448" s="205"/>
      <c r="K448" s="205"/>
      <c r="L448" s="205"/>
      <c r="M448" s="205"/>
      <c r="N448" s="205"/>
      <c r="O448" s="205"/>
      <c r="P448" s="205"/>
      <c r="Q448" s="208"/>
      <c r="R448" s="209"/>
      <c r="S448" s="210"/>
      <c r="T448" s="210"/>
      <c r="U448" s="211"/>
      <c r="V448" s="212"/>
      <c r="W448" s="204"/>
      <c r="X448" s="204"/>
      <c r="Y448" s="205"/>
      <c r="Z448" s="205"/>
      <c r="AA448" s="205"/>
      <c r="AB448" s="205"/>
      <c r="AC448" s="205"/>
      <c r="AD448" s="205"/>
      <c r="AE448" s="205"/>
      <c r="AF448" s="205"/>
      <c r="AG448" s="205"/>
      <c r="AH448" s="193"/>
    </row>
    <row r="449" spans="1:34" x14ac:dyDescent="0.25">
      <c r="A449" s="193"/>
      <c r="B449" s="490"/>
      <c r="C449" s="499" t="s">
        <v>265</v>
      </c>
      <c r="D449" s="490">
        <v>5</v>
      </c>
      <c r="E449" s="490">
        <v>0.625</v>
      </c>
      <c r="F449" s="490"/>
      <c r="G449" s="490">
        <f>G447</f>
        <v>87.960000000000008</v>
      </c>
      <c r="H449" s="490"/>
      <c r="I449" s="490">
        <v>2</v>
      </c>
      <c r="J449" s="490">
        <v>1</v>
      </c>
      <c r="K449" s="490"/>
      <c r="L449" s="490">
        <f>G447-2-2</f>
        <v>83.960000000000008</v>
      </c>
      <c r="M449" s="490"/>
      <c r="N449" s="490"/>
      <c r="O449" s="490"/>
      <c r="P449" s="490"/>
      <c r="Q449" s="490"/>
      <c r="R449" s="213"/>
      <c r="S449" s="502"/>
      <c r="T449" s="502"/>
      <c r="U449" s="214"/>
      <c r="V449" s="490">
        <f>SUM(R449:U453)</f>
        <v>6.996666666666667</v>
      </c>
      <c r="W449" s="490">
        <f>+SUM(K449:Q453)</f>
        <v>83.960000000000008</v>
      </c>
      <c r="X449" s="490">
        <f>(+I449*J449*W449)/12</f>
        <v>13.993333333333334</v>
      </c>
      <c r="Y449" s="490">
        <f>IF(Y$4=$D449,$X449*Y$5,0)</f>
        <v>0</v>
      </c>
      <c r="Z449" s="490">
        <f t="shared" ref="Z449:AF449" si="80">IF(Z$4=$D449,$X449*Z$5,0)</f>
        <v>0</v>
      </c>
      <c r="AA449" s="490">
        <f t="shared" si="80"/>
        <v>14.595046666666667</v>
      </c>
      <c r="AB449" s="490">
        <f t="shared" si="80"/>
        <v>0</v>
      </c>
      <c r="AC449" s="490">
        <f t="shared" si="80"/>
        <v>0</v>
      </c>
      <c r="AD449" s="490">
        <f t="shared" si="80"/>
        <v>0</v>
      </c>
      <c r="AE449" s="490">
        <f t="shared" si="80"/>
        <v>0</v>
      </c>
      <c r="AF449" s="490">
        <f t="shared" si="80"/>
        <v>0</v>
      </c>
      <c r="AG449" s="490"/>
      <c r="AH449" s="193"/>
    </row>
    <row r="450" spans="1:34" x14ac:dyDescent="0.25">
      <c r="A450" s="193"/>
      <c r="B450" s="491"/>
      <c r="C450" s="500"/>
      <c r="D450" s="491"/>
      <c r="E450" s="491"/>
      <c r="F450" s="491"/>
      <c r="G450" s="491"/>
      <c r="H450" s="491"/>
      <c r="I450" s="491"/>
      <c r="J450" s="491"/>
      <c r="K450" s="491"/>
      <c r="L450" s="491"/>
      <c r="M450" s="491"/>
      <c r="N450" s="491"/>
      <c r="O450" s="491"/>
      <c r="P450" s="491"/>
      <c r="Q450" s="491"/>
      <c r="R450" s="213"/>
      <c r="S450" s="215"/>
      <c r="T450" s="216"/>
      <c r="U450" s="214"/>
      <c r="V450" s="491"/>
      <c r="W450" s="491"/>
      <c r="X450" s="491"/>
      <c r="Y450" s="491"/>
      <c r="Z450" s="491"/>
      <c r="AA450" s="491"/>
      <c r="AB450" s="491"/>
      <c r="AC450" s="491"/>
      <c r="AD450" s="491"/>
      <c r="AE450" s="491"/>
      <c r="AF450" s="491"/>
      <c r="AG450" s="491"/>
      <c r="AH450" s="193"/>
    </row>
    <row r="451" spans="1:34" x14ac:dyDescent="0.25">
      <c r="A451" s="193"/>
      <c r="B451" s="491"/>
      <c r="C451" s="500"/>
      <c r="D451" s="491"/>
      <c r="E451" s="491"/>
      <c r="F451" s="491"/>
      <c r="G451" s="491"/>
      <c r="H451" s="491"/>
      <c r="I451" s="491"/>
      <c r="J451" s="491"/>
      <c r="K451" s="491"/>
      <c r="L451" s="491"/>
      <c r="M451" s="491"/>
      <c r="N451" s="491"/>
      <c r="O451" s="491"/>
      <c r="P451" s="491"/>
      <c r="Q451" s="491"/>
      <c r="R451" s="217"/>
      <c r="S451" s="218"/>
      <c r="T451" s="218"/>
      <c r="U451" s="219"/>
      <c r="V451" s="491"/>
      <c r="W451" s="491"/>
      <c r="X451" s="491"/>
      <c r="Y451" s="491"/>
      <c r="Z451" s="491"/>
      <c r="AA451" s="491"/>
      <c r="AB451" s="491"/>
      <c r="AC451" s="491"/>
      <c r="AD451" s="491"/>
      <c r="AE451" s="491"/>
      <c r="AF451" s="491"/>
      <c r="AG451" s="491"/>
      <c r="AH451" s="193"/>
    </row>
    <row r="452" spans="1:34" ht="15.75" thickBot="1" x14ac:dyDescent="0.3">
      <c r="A452" s="193"/>
      <c r="B452" s="491"/>
      <c r="C452" s="500"/>
      <c r="D452" s="491"/>
      <c r="E452" s="491"/>
      <c r="F452" s="491"/>
      <c r="G452" s="491"/>
      <c r="H452" s="491"/>
      <c r="I452" s="491"/>
      <c r="J452" s="491"/>
      <c r="K452" s="491"/>
      <c r="L452" s="491"/>
      <c r="M452" s="491"/>
      <c r="N452" s="491"/>
      <c r="O452" s="491"/>
      <c r="P452" s="491"/>
      <c r="Q452" s="491"/>
      <c r="R452" s="213"/>
      <c r="S452" s="220"/>
      <c r="T452" s="220"/>
      <c r="U452" s="214"/>
      <c r="V452" s="491"/>
      <c r="W452" s="491"/>
      <c r="X452" s="491"/>
      <c r="Y452" s="491"/>
      <c r="Z452" s="491"/>
      <c r="AA452" s="491"/>
      <c r="AB452" s="491"/>
      <c r="AC452" s="491"/>
      <c r="AD452" s="491"/>
      <c r="AE452" s="491"/>
      <c r="AF452" s="491"/>
      <c r="AG452" s="491"/>
      <c r="AH452" s="193"/>
    </row>
    <row r="453" spans="1:34" x14ac:dyDescent="0.25">
      <c r="A453" s="193"/>
      <c r="B453" s="492"/>
      <c r="C453" s="501"/>
      <c r="D453" s="492"/>
      <c r="E453" s="492"/>
      <c r="F453" s="492"/>
      <c r="G453" s="492"/>
      <c r="H453" s="492"/>
      <c r="I453" s="492"/>
      <c r="J453" s="492"/>
      <c r="K453" s="492"/>
      <c r="L453" s="492"/>
      <c r="M453" s="492"/>
      <c r="N453" s="492"/>
      <c r="O453" s="492"/>
      <c r="P453" s="492"/>
      <c r="Q453" s="492"/>
      <c r="R453" s="221"/>
      <c r="S453" s="493">
        <f>L449/12</f>
        <v>6.996666666666667</v>
      </c>
      <c r="T453" s="493"/>
      <c r="U453" s="222"/>
      <c r="V453" s="492"/>
      <c r="W453" s="492"/>
      <c r="X453" s="492"/>
      <c r="Y453" s="492"/>
      <c r="Z453" s="492"/>
      <c r="AA453" s="492"/>
      <c r="AB453" s="492"/>
      <c r="AC453" s="492"/>
      <c r="AD453" s="492"/>
      <c r="AE453" s="492"/>
      <c r="AF453" s="492"/>
      <c r="AG453" s="492"/>
      <c r="AH453" s="193"/>
    </row>
    <row r="454" spans="1:34" x14ac:dyDescent="0.25">
      <c r="A454" s="193"/>
      <c r="B454" s="490"/>
      <c r="C454" s="499" t="s">
        <v>271</v>
      </c>
      <c r="D454" s="490">
        <v>5</v>
      </c>
      <c r="E454" s="490">
        <v>0.625</v>
      </c>
      <c r="F454" s="490"/>
      <c r="G454" s="490"/>
      <c r="H454" s="490"/>
      <c r="I454" s="490">
        <v>2</v>
      </c>
      <c r="J454" s="490">
        <v>2</v>
      </c>
      <c r="K454" s="490">
        <v>30</v>
      </c>
      <c r="L454" s="490">
        <v>30</v>
      </c>
      <c r="M454" s="490"/>
      <c r="N454" s="490"/>
      <c r="O454" s="490"/>
      <c r="P454" s="490"/>
      <c r="Q454" s="490"/>
      <c r="R454" s="213"/>
      <c r="S454" s="498"/>
      <c r="T454" s="498"/>
      <c r="U454" s="214"/>
      <c r="V454" s="490">
        <f>SUM(R454:U458)</f>
        <v>5</v>
      </c>
      <c r="W454" s="490">
        <f>+SUM(K454:Q458)</f>
        <v>60</v>
      </c>
      <c r="X454" s="490">
        <f>(+I454*J454*W454)/12</f>
        <v>20</v>
      </c>
      <c r="Y454" s="490">
        <f t="shared" ref="Y454:AF454" si="81">IF(Y$4=$D454,$X454*Y$5,0)</f>
        <v>0</v>
      </c>
      <c r="Z454" s="490">
        <f t="shared" si="81"/>
        <v>0</v>
      </c>
      <c r="AA454" s="490">
        <f t="shared" si="81"/>
        <v>20.86</v>
      </c>
      <c r="AB454" s="490">
        <f t="shared" si="81"/>
        <v>0</v>
      </c>
      <c r="AC454" s="490">
        <f t="shared" si="81"/>
        <v>0</v>
      </c>
      <c r="AD454" s="490">
        <f t="shared" si="81"/>
        <v>0</v>
      </c>
      <c r="AE454" s="490">
        <f t="shared" si="81"/>
        <v>0</v>
      </c>
      <c r="AF454" s="490">
        <f t="shared" si="81"/>
        <v>0</v>
      </c>
      <c r="AG454" s="490"/>
      <c r="AH454" s="193"/>
    </row>
    <row r="455" spans="1:34" x14ac:dyDescent="0.25">
      <c r="A455" s="193"/>
      <c r="B455" s="491"/>
      <c r="C455" s="500"/>
      <c r="D455" s="491"/>
      <c r="E455" s="491"/>
      <c r="F455" s="491"/>
      <c r="G455" s="491"/>
      <c r="H455" s="491"/>
      <c r="I455" s="491"/>
      <c r="J455" s="491"/>
      <c r="K455" s="491"/>
      <c r="L455" s="491"/>
      <c r="M455" s="491"/>
      <c r="N455" s="491"/>
      <c r="O455" s="491"/>
      <c r="P455" s="491"/>
      <c r="Q455" s="491"/>
      <c r="R455" s="213"/>
      <c r="S455" s="215"/>
      <c r="T455" s="216"/>
      <c r="U455" s="214"/>
      <c r="V455" s="491"/>
      <c r="W455" s="491"/>
      <c r="X455" s="491"/>
      <c r="Y455" s="491"/>
      <c r="Z455" s="491"/>
      <c r="AA455" s="491"/>
      <c r="AB455" s="491"/>
      <c r="AC455" s="491"/>
      <c r="AD455" s="491"/>
      <c r="AE455" s="491"/>
      <c r="AF455" s="491"/>
      <c r="AG455" s="491"/>
      <c r="AH455" s="193"/>
    </row>
    <row r="456" spans="1:34" x14ac:dyDescent="0.25">
      <c r="A456" s="193"/>
      <c r="B456" s="491"/>
      <c r="C456" s="500"/>
      <c r="D456" s="491"/>
      <c r="E456" s="491"/>
      <c r="F456" s="491"/>
      <c r="G456" s="491"/>
      <c r="H456" s="491"/>
      <c r="I456" s="491"/>
      <c r="J456" s="491"/>
      <c r="K456" s="491"/>
      <c r="L456" s="491"/>
      <c r="M456" s="491"/>
      <c r="N456" s="491"/>
      <c r="O456" s="491"/>
      <c r="P456" s="491"/>
      <c r="Q456" s="491"/>
      <c r="R456" s="217">
        <f>K454/12</f>
        <v>2.5</v>
      </c>
      <c r="S456" s="223"/>
      <c r="T456" s="195"/>
      <c r="U456" s="219"/>
      <c r="V456" s="491"/>
      <c r="W456" s="491"/>
      <c r="X456" s="491"/>
      <c r="Y456" s="491"/>
      <c r="Z456" s="491"/>
      <c r="AA456" s="491"/>
      <c r="AB456" s="491"/>
      <c r="AC456" s="491"/>
      <c r="AD456" s="491"/>
      <c r="AE456" s="491"/>
      <c r="AF456" s="491"/>
      <c r="AG456" s="491"/>
      <c r="AH456" s="193"/>
    </row>
    <row r="457" spans="1:34" ht="15.75" thickBot="1" x14ac:dyDescent="0.3">
      <c r="A457" s="193"/>
      <c r="B457" s="491"/>
      <c r="C457" s="500"/>
      <c r="D457" s="491"/>
      <c r="E457" s="491"/>
      <c r="F457" s="491"/>
      <c r="G457" s="491"/>
      <c r="H457" s="491"/>
      <c r="I457" s="491"/>
      <c r="J457" s="491"/>
      <c r="K457" s="491"/>
      <c r="L457" s="491"/>
      <c r="M457" s="491"/>
      <c r="N457" s="491"/>
      <c r="O457" s="491"/>
      <c r="P457" s="491"/>
      <c r="Q457" s="491"/>
      <c r="R457" s="213"/>
      <c r="S457" s="224"/>
      <c r="T457" s="220"/>
      <c r="U457" s="214"/>
      <c r="V457" s="491"/>
      <c r="W457" s="491"/>
      <c r="X457" s="491"/>
      <c r="Y457" s="491"/>
      <c r="Z457" s="491"/>
      <c r="AA457" s="491"/>
      <c r="AB457" s="491"/>
      <c r="AC457" s="491"/>
      <c r="AD457" s="491"/>
      <c r="AE457" s="491"/>
      <c r="AF457" s="491"/>
      <c r="AG457" s="491"/>
      <c r="AH457" s="193"/>
    </row>
    <row r="458" spans="1:34" x14ac:dyDescent="0.25">
      <c r="A458" s="193"/>
      <c r="B458" s="492"/>
      <c r="C458" s="501"/>
      <c r="D458" s="492"/>
      <c r="E458" s="492"/>
      <c r="F458" s="492"/>
      <c r="G458" s="492"/>
      <c r="H458" s="492"/>
      <c r="I458" s="492"/>
      <c r="J458" s="492"/>
      <c r="K458" s="492"/>
      <c r="L458" s="492"/>
      <c r="M458" s="492"/>
      <c r="N458" s="492"/>
      <c r="O458" s="492"/>
      <c r="P458" s="492"/>
      <c r="Q458" s="492"/>
      <c r="R458" s="221"/>
      <c r="S458" s="493">
        <f>L454/12</f>
        <v>2.5</v>
      </c>
      <c r="T458" s="493"/>
      <c r="U458" s="222"/>
      <c r="V458" s="492"/>
      <c r="W458" s="492"/>
      <c r="X458" s="492"/>
      <c r="Y458" s="492"/>
      <c r="Z458" s="492"/>
      <c r="AA458" s="492"/>
      <c r="AB458" s="492"/>
      <c r="AC458" s="492"/>
      <c r="AD458" s="492"/>
      <c r="AE458" s="492"/>
      <c r="AF458" s="492"/>
      <c r="AG458" s="492"/>
      <c r="AH458" s="193"/>
    </row>
    <row r="459" spans="1:34" x14ac:dyDescent="0.25">
      <c r="A459" s="193"/>
      <c r="B459" s="490"/>
      <c r="C459" s="490" t="s">
        <v>277</v>
      </c>
      <c r="D459" s="490">
        <v>5</v>
      </c>
      <c r="E459" s="490">
        <v>0.625</v>
      </c>
      <c r="F459" s="494">
        <v>16</v>
      </c>
      <c r="G459" s="229"/>
      <c r="H459" s="490"/>
      <c r="I459" s="490">
        <f>ROUNDUP(G449/F459,0)</f>
        <v>6</v>
      </c>
      <c r="J459" s="490">
        <v>1</v>
      </c>
      <c r="K459" s="490">
        <v>6</v>
      </c>
      <c r="L459" s="490">
        <f>4*12-2</f>
        <v>46</v>
      </c>
      <c r="M459" s="490">
        <f>11*12</f>
        <v>132</v>
      </c>
      <c r="N459" s="490"/>
      <c r="O459" s="490"/>
      <c r="P459" s="490"/>
      <c r="Q459" s="490"/>
      <c r="R459" s="213"/>
      <c r="S459" s="498"/>
      <c r="T459" s="498"/>
      <c r="U459" s="214"/>
      <c r="V459" s="490">
        <f>SUM(R459:U463)</f>
        <v>15.333333333333334</v>
      </c>
      <c r="W459" s="490">
        <f>+SUM(K459:Q463)</f>
        <v>184</v>
      </c>
      <c r="X459" s="490">
        <f>(+I459*J459*W459)/12</f>
        <v>92</v>
      </c>
      <c r="Y459" s="490">
        <f t="shared" ref="Y459:AF459" si="82">IF(Y$4=$D459,$X459*Y$5,0)</f>
        <v>0</v>
      </c>
      <c r="Z459" s="490">
        <f t="shared" si="82"/>
        <v>0</v>
      </c>
      <c r="AA459" s="490">
        <f t="shared" si="82"/>
        <v>95.955999999999989</v>
      </c>
      <c r="AB459" s="490">
        <f t="shared" si="82"/>
        <v>0</v>
      </c>
      <c r="AC459" s="490">
        <f t="shared" si="82"/>
        <v>0</v>
      </c>
      <c r="AD459" s="490">
        <f t="shared" si="82"/>
        <v>0</v>
      </c>
      <c r="AE459" s="490">
        <f t="shared" si="82"/>
        <v>0</v>
      </c>
      <c r="AF459" s="490">
        <f t="shared" si="82"/>
        <v>0</v>
      </c>
      <c r="AG459" s="490"/>
      <c r="AH459" s="193"/>
    </row>
    <row r="460" spans="1:34" x14ac:dyDescent="0.25">
      <c r="A460" s="193"/>
      <c r="B460" s="491"/>
      <c r="C460" s="491"/>
      <c r="D460" s="491"/>
      <c r="E460" s="491"/>
      <c r="F460" s="495"/>
      <c r="G460" s="230"/>
      <c r="H460" s="491"/>
      <c r="I460" s="491"/>
      <c r="J460" s="491"/>
      <c r="K460" s="491"/>
      <c r="L460" s="491"/>
      <c r="M460" s="491"/>
      <c r="N460" s="491"/>
      <c r="O460" s="491"/>
      <c r="P460" s="491"/>
      <c r="Q460" s="491"/>
      <c r="R460" s="213"/>
      <c r="S460" s="215"/>
      <c r="T460" s="216"/>
      <c r="U460" s="214"/>
      <c r="V460" s="491"/>
      <c r="W460" s="491"/>
      <c r="X460" s="491"/>
      <c r="Y460" s="491"/>
      <c r="Z460" s="491"/>
      <c r="AA460" s="491"/>
      <c r="AB460" s="491"/>
      <c r="AC460" s="491"/>
      <c r="AD460" s="491"/>
      <c r="AE460" s="491"/>
      <c r="AF460" s="491"/>
      <c r="AG460" s="491"/>
      <c r="AH460" s="193"/>
    </row>
    <row r="461" spans="1:34" x14ac:dyDescent="0.25">
      <c r="A461" s="193"/>
      <c r="B461" s="491"/>
      <c r="C461" s="491"/>
      <c r="D461" s="491"/>
      <c r="E461" s="491"/>
      <c r="F461" s="495"/>
      <c r="G461" s="230"/>
      <c r="H461" s="491"/>
      <c r="I461" s="491"/>
      <c r="J461" s="491"/>
      <c r="K461" s="491"/>
      <c r="L461" s="491"/>
      <c r="M461" s="491"/>
      <c r="N461" s="491"/>
      <c r="O461" s="491"/>
      <c r="P461" s="491"/>
      <c r="Q461" s="491"/>
      <c r="R461" s="225">
        <f>K459/12</f>
        <v>0.5</v>
      </c>
      <c r="S461" s="218"/>
      <c r="T461" s="218"/>
      <c r="U461" s="219"/>
      <c r="V461" s="491"/>
      <c r="W461" s="491"/>
      <c r="X461" s="491"/>
      <c r="Y461" s="491"/>
      <c r="Z461" s="491"/>
      <c r="AA461" s="491"/>
      <c r="AB461" s="491"/>
      <c r="AC461" s="491"/>
      <c r="AD461" s="491"/>
      <c r="AE461" s="491"/>
      <c r="AF461" s="491"/>
      <c r="AG461" s="491"/>
      <c r="AH461" s="193"/>
    </row>
    <row r="462" spans="1:34" ht="15.75" thickBot="1" x14ac:dyDescent="0.3">
      <c r="A462" s="193"/>
      <c r="B462" s="491"/>
      <c r="C462" s="491"/>
      <c r="D462" s="491"/>
      <c r="E462" s="491"/>
      <c r="F462" s="495"/>
      <c r="G462" s="230"/>
      <c r="H462" s="491"/>
      <c r="I462" s="491"/>
      <c r="J462" s="491"/>
      <c r="K462" s="491"/>
      <c r="L462" s="491"/>
      <c r="M462" s="491"/>
      <c r="N462" s="491"/>
      <c r="O462" s="491"/>
      <c r="P462" s="491"/>
      <c r="Q462" s="491"/>
      <c r="R462" s="226"/>
      <c r="S462" s="220"/>
      <c r="T462" s="220"/>
      <c r="U462" s="214"/>
      <c r="V462" s="491"/>
      <c r="W462" s="491"/>
      <c r="X462" s="491"/>
      <c r="Y462" s="491"/>
      <c r="Z462" s="491"/>
      <c r="AA462" s="491"/>
      <c r="AB462" s="491"/>
      <c r="AC462" s="491"/>
      <c r="AD462" s="491"/>
      <c r="AE462" s="491"/>
      <c r="AF462" s="491"/>
      <c r="AG462" s="491"/>
      <c r="AH462" s="193"/>
    </row>
    <row r="463" spans="1:34" x14ac:dyDescent="0.25">
      <c r="A463" s="193"/>
      <c r="B463" s="492"/>
      <c r="C463" s="492"/>
      <c r="D463" s="491"/>
      <c r="E463" s="491"/>
      <c r="F463" s="496"/>
      <c r="G463" s="231"/>
      <c r="H463" s="492"/>
      <c r="I463" s="492"/>
      <c r="J463" s="492"/>
      <c r="K463" s="492"/>
      <c r="L463" s="492"/>
      <c r="M463" s="492"/>
      <c r="N463" s="492"/>
      <c r="O463" s="492"/>
      <c r="P463" s="492"/>
      <c r="Q463" s="492"/>
      <c r="R463" s="221"/>
      <c r="S463" s="493">
        <f>+SUM(L459:M463)/12</f>
        <v>14.833333333333334</v>
      </c>
      <c r="T463" s="493"/>
      <c r="U463" s="222"/>
      <c r="V463" s="492"/>
      <c r="W463" s="492"/>
      <c r="X463" s="492"/>
      <c r="Y463" s="492"/>
      <c r="Z463" s="492"/>
      <c r="AA463" s="492"/>
      <c r="AB463" s="492"/>
      <c r="AC463" s="492"/>
      <c r="AD463" s="492"/>
      <c r="AE463" s="492"/>
      <c r="AF463" s="492"/>
      <c r="AG463" s="492"/>
      <c r="AH463" s="193"/>
    </row>
    <row r="464" spans="1:34" x14ac:dyDescent="0.25">
      <c r="A464" s="193"/>
      <c r="B464" s="490"/>
      <c r="C464" s="490" t="s">
        <v>286</v>
      </c>
      <c r="D464" s="490">
        <v>5</v>
      </c>
      <c r="E464" s="490">
        <v>0.625</v>
      </c>
      <c r="F464" s="494">
        <v>16</v>
      </c>
      <c r="G464" s="229"/>
      <c r="H464" s="490"/>
      <c r="I464" s="490">
        <f>ROUNDUP(M459/F464,0)</f>
        <v>9</v>
      </c>
      <c r="J464" s="490">
        <v>1</v>
      </c>
      <c r="K464" s="490"/>
      <c r="L464" s="490">
        <f>G447-2-2</f>
        <v>83.960000000000008</v>
      </c>
      <c r="M464" s="490"/>
      <c r="N464" s="490"/>
      <c r="O464" s="490"/>
      <c r="P464" s="490"/>
      <c r="Q464" s="490"/>
      <c r="R464" s="213"/>
      <c r="S464" s="498"/>
      <c r="T464" s="498"/>
      <c r="U464" s="214"/>
      <c r="V464" s="490">
        <f>SUM(R464:U468)</f>
        <v>6.996666666666667</v>
      </c>
      <c r="W464" s="490">
        <f>+SUM(K464:Q468)</f>
        <v>83.960000000000008</v>
      </c>
      <c r="X464" s="490">
        <f>(+I464*J464*W464)/12</f>
        <v>62.970000000000006</v>
      </c>
      <c r="Y464" s="490">
        <f t="shared" ref="Y464:AF464" si="83">IF(Y$4=$D464,$X464*Y$5,0)</f>
        <v>0</v>
      </c>
      <c r="Z464" s="490">
        <f t="shared" si="83"/>
        <v>0</v>
      </c>
      <c r="AA464" s="490">
        <f t="shared" si="83"/>
        <v>65.677710000000005</v>
      </c>
      <c r="AB464" s="490">
        <f t="shared" si="83"/>
        <v>0</v>
      </c>
      <c r="AC464" s="490">
        <f t="shared" si="83"/>
        <v>0</v>
      </c>
      <c r="AD464" s="490">
        <f t="shared" si="83"/>
        <v>0</v>
      </c>
      <c r="AE464" s="490">
        <f t="shared" si="83"/>
        <v>0</v>
      </c>
      <c r="AF464" s="490">
        <f t="shared" si="83"/>
        <v>0</v>
      </c>
      <c r="AG464" s="490"/>
      <c r="AH464" s="193"/>
    </row>
    <row r="465" spans="1:34" x14ac:dyDescent="0.25">
      <c r="A465" s="193"/>
      <c r="B465" s="491"/>
      <c r="C465" s="491"/>
      <c r="D465" s="491"/>
      <c r="E465" s="491"/>
      <c r="F465" s="495"/>
      <c r="G465" s="230"/>
      <c r="H465" s="491"/>
      <c r="I465" s="491"/>
      <c r="J465" s="491"/>
      <c r="K465" s="491"/>
      <c r="L465" s="491"/>
      <c r="M465" s="491"/>
      <c r="N465" s="491"/>
      <c r="O465" s="491"/>
      <c r="P465" s="491"/>
      <c r="Q465" s="491"/>
      <c r="R465" s="213"/>
      <c r="S465" s="215"/>
      <c r="T465" s="216"/>
      <c r="U465" s="214"/>
      <c r="V465" s="491"/>
      <c r="W465" s="491"/>
      <c r="X465" s="491"/>
      <c r="Y465" s="491"/>
      <c r="Z465" s="491"/>
      <c r="AA465" s="491"/>
      <c r="AB465" s="491"/>
      <c r="AC465" s="491"/>
      <c r="AD465" s="491"/>
      <c r="AE465" s="491"/>
      <c r="AF465" s="491"/>
      <c r="AG465" s="491"/>
      <c r="AH465" s="193"/>
    </row>
    <row r="466" spans="1:34" x14ac:dyDescent="0.25">
      <c r="A466" s="193"/>
      <c r="B466" s="491"/>
      <c r="C466" s="491"/>
      <c r="D466" s="491"/>
      <c r="E466" s="491"/>
      <c r="F466" s="495"/>
      <c r="G466" s="230"/>
      <c r="H466" s="491"/>
      <c r="I466" s="491"/>
      <c r="J466" s="491"/>
      <c r="K466" s="491"/>
      <c r="L466" s="491"/>
      <c r="M466" s="491"/>
      <c r="N466" s="491"/>
      <c r="O466" s="491"/>
      <c r="P466" s="491"/>
      <c r="Q466" s="497"/>
      <c r="R466" s="217"/>
      <c r="S466" s="218"/>
      <c r="T466" s="218"/>
      <c r="U466" s="219"/>
      <c r="V466" s="491"/>
      <c r="W466" s="491"/>
      <c r="X466" s="491"/>
      <c r="Y466" s="491"/>
      <c r="Z466" s="491"/>
      <c r="AA466" s="491"/>
      <c r="AB466" s="491"/>
      <c r="AC466" s="491"/>
      <c r="AD466" s="491"/>
      <c r="AE466" s="491"/>
      <c r="AF466" s="491"/>
      <c r="AG466" s="491"/>
      <c r="AH466" s="193"/>
    </row>
    <row r="467" spans="1:34" ht="15.75" thickBot="1" x14ac:dyDescent="0.3">
      <c r="A467" s="193"/>
      <c r="B467" s="491"/>
      <c r="C467" s="491"/>
      <c r="D467" s="491"/>
      <c r="E467" s="491"/>
      <c r="F467" s="495"/>
      <c r="G467" s="230"/>
      <c r="H467" s="491"/>
      <c r="I467" s="491"/>
      <c r="J467" s="491"/>
      <c r="K467" s="491"/>
      <c r="L467" s="491"/>
      <c r="M467" s="491"/>
      <c r="N467" s="491"/>
      <c r="O467" s="491"/>
      <c r="P467" s="491"/>
      <c r="Q467" s="497"/>
      <c r="R467" s="213"/>
      <c r="S467" s="220"/>
      <c r="T467" s="220"/>
      <c r="U467" s="214"/>
      <c r="V467" s="491"/>
      <c r="W467" s="491"/>
      <c r="X467" s="491"/>
      <c r="Y467" s="491"/>
      <c r="Z467" s="491"/>
      <c r="AA467" s="491"/>
      <c r="AB467" s="491"/>
      <c r="AC467" s="491"/>
      <c r="AD467" s="491"/>
      <c r="AE467" s="491"/>
      <c r="AF467" s="491"/>
      <c r="AG467" s="491"/>
      <c r="AH467" s="193"/>
    </row>
    <row r="468" spans="1:34" x14ac:dyDescent="0.25">
      <c r="A468" s="193"/>
      <c r="B468" s="492"/>
      <c r="C468" s="492"/>
      <c r="D468" s="491"/>
      <c r="E468" s="491"/>
      <c r="F468" s="496"/>
      <c r="G468" s="231"/>
      <c r="H468" s="492"/>
      <c r="I468" s="492"/>
      <c r="J468" s="492"/>
      <c r="K468" s="492"/>
      <c r="L468" s="492"/>
      <c r="M468" s="492"/>
      <c r="N468" s="492"/>
      <c r="O468" s="492"/>
      <c r="P468" s="492"/>
      <c r="Q468" s="492"/>
      <c r="R468" s="221"/>
      <c r="S468" s="493">
        <f>L464/12</f>
        <v>6.996666666666667</v>
      </c>
      <c r="T468" s="493"/>
      <c r="U468" s="222"/>
      <c r="V468" s="492"/>
      <c r="W468" s="492"/>
      <c r="X468" s="492"/>
      <c r="Y468" s="492"/>
      <c r="Z468" s="492"/>
      <c r="AA468" s="492"/>
      <c r="AB468" s="492"/>
      <c r="AC468" s="492"/>
      <c r="AD468" s="492"/>
      <c r="AE468" s="492"/>
      <c r="AF468" s="492"/>
      <c r="AG468" s="492"/>
      <c r="AH468" s="193"/>
    </row>
    <row r="469" spans="1:34" ht="15.75" thickBot="1" x14ac:dyDescent="0.3">
      <c r="A469" s="195"/>
      <c r="B469" s="200" t="s">
        <v>306</v>
      </c>
      <c r="C469" s="199" t="s">
        <v>284</v>
      </c>
      <c r="D469" s="197">
        <v>60</v>
      </c>
      <c r="E469" s="201">
        <v>8</v>
      </c>
      <c r="F469" s="202"/>
      <c r="G469" s="202">
        <f>22.67*12</f>
        <v>272.04000000000002</v>
      </c>
      <c r="H469" s="202">
        <v>16</v>
      </c>
      <c r="I469" s="202">
        <v>12</v>
      </c>
      <c r="J469" s="202">
        <v>12</v>
      </c>
      <c r="K469" s="199"/>
      <c r="L469" s="199"/>
      <c r="M469" s="199"/>
      <c r="N469" s="199"/>
      <c r="O469" s="199"/>
      <c r="P469" s="199"/>
      <c r="Q469" s="198"/>
      <c r="R469" s="196"/>
      <c r="S469" s="196"/>
      <c r="T469" s="196"/>
      <c r="U469" s="196"/>
      <c r="V469" s="203"/>
      <c r="W469" s="202"/>
      <c r="X469" s="202"/>
      <c r="Y469" s="199"/>
      <c r="Z469" s="199"/>
      <c r="AA469" s="199"/>
      <c r="AB469" s="199"/>
      <c r="AC469" s="199"/>
      <c r="AD469" s="199"/>
      <c r="AE469" s="199"/>
      <c r="AF469" s="199"/>
      <c r="AG469" s="199"/>
      <c r="AH469" s="195"/>
    </row>
    <row r="470" spans="1:34" ht="15.75" thickBot="1" x14ac:dyDescent="0.3">
      <c r="A470" s="193"/>
      <c r="B470" s="204"/>
      <c r="C470" s="205"/>
      <c r="D470" s="194"/>
      <c r="E470" s="206"/>
      <c r="F470" s="205"/>
      <c r="G470" s="205"/>
      <c r="H470" s="207">
        <v>3</v>
      </c>
      <c r="I470" s="207">
        <v>2</v>
      </c>
      <c r="J470" s="205"/>
      <c r="K470" s="205"/>
      <c r="L470" s="205"/>
      <c r="M470" s="205"/>
      <c r="N470" s="205"/>
      <c r="O470" s="205"/>
      <c r="P470" s="205"/>
      <c r="Q470" s="208"/>
      <c r="R470" s="209"/>
      <c r="S470" s="210"/>
      <c r="T470" s="210"/>
      <c r="U470" s="211"/>
      <c r="V470" s="212"/>
      <c r="W470" s="204"/>
      <c r="X470" s="204"/>
      <c r="Y470" s="205"/>
      <c r="Z470" s="205"/>
      <c r="AA470" s="205"/>
      <c r="AB470" s="205"/>
      <c r="AC470" s="205"/>
      <c r="AD470" s="205"/>
      <c r="AE470" s="205"/>
      <c r="AF470" s="205"/>
      <c r="AG470" s="205"/>
      <c r="AH470" s="193"/>
    </row>
    <row r="471" spans="1:34" x14ac:dyDescent="0.25">
      <c r="A471" s="193"/>
      <c r="B471" s="490"/>
      <c r="C471" s="499" t="s">
        <v>265</v>
      </c>
      <c r="D471" s="490">
        <v>5</v>
      </c>
      <c r="E471" s="490">
        <v>0.625</v>
      </c>
      <c r="F471" s="490"/>
      <c r="G471" s="490">
        <f>G469</f>
        <v>272.04000000000002</v>
      </c>
      <c r="H471" s="490"/>
      <c r="I471" s="490">
        <v>2</v>
      </c>
      <c r="J471" s="490">
        <v>1</v>
      </c>
      <c r="K471" s="490"/>
      <c r="L471" s="490">
        <f>G469-2-2</f>
        <v>268.04000000000002</v>
      </c>
      <c r="M471" s="490"/>
      <c r="N471" s="490"/>
      <c r="O471" s="490"/>
      <c r="P471" s="490"/>
      <c r="Q471" s="490"/>
      <c r="R471" s="213"/>
      <c r="S471" s="502"/>
      <c r="T471" s="502"/>
      <c r="U471" s="214"/>
      <c r="V471" s="490">
        <f>SUM(R471:U475)</f>
        <v>22.33666666666667</v>
      </c>
      <c r="W471" s="490">
        <f>+SUM(K471:Q475)</f>
        <v>268.04000000000002</v>
      </c>
      <c r="X471" s="490">
        <f>(+I471*J471*W471)/12</f>
        <v>44.673333333333339</v>
      </c>
      <c r="Y471" s="490">
        <f>IF(Y$4=$D471,$X471*Y$5,0)</f>
        <v>0</v>
      </c>
      <c r="Z471" s="490">
        <f t="shared" ref="Z471:AF471" si="84">IF(Z$4=$D471,$X471*Z$5,0)</f>
        <v>0</v>
      </c>
      <c r="AA471" s="490">
        <f t="shared" si="84"/>
        <v>46.594286666666669</v>
      </c>
      <c r="AB471" s="490">
        <f t="shared" si="84"/>
        <v>0</v>
      </c>
      <c r="AC471" s="490">
        <f t="shared" si="84"/>
        <v>0</v>
      </c>
      <c r="AD471" s="490">
        <f t="shared" si="84"/>
        <v>0</v>
      </c>
      <c r="AE471" s="490">
        <f t="shared" si="84"/>
        <v>0</v>
      </c>
      <c r="AF471" s="490">
        <f t="shared" si="84"/>
        <v>0</v>
      </c>
      <c r="AG471" s="490"/>
      <c r="AH471" s="193"/>
    </row>
    <row r="472" spans="1:34" x14ac:dyDescent="0.25">
      <c r="A472" s="193"/>
      <c r="B472" s="491"/>
      <c r="C472" s="500"/>
      <c r="D472" s="491"/>
      <c r="E472" s="491"/>
      <c r="F472" s="491"/>
      <c r="G472" s="491"/>
      <c r="H472" s="491"/>
      <c r="I472" s="491"/>
      <c r="J472" s="491"/>
      <c r="K472" s="491"/>
      <c r="L472" s="491"/>
      <c r="M472" s="491"/>
      <c r="N472" s="491"/>
      <c r="O472" s="491"/>
      <c r="P472" s="491"/>
      <c r="Q472" s="491"/>
      <c r="R472" s="213"/>
      <c r="S472" s="215"/>
      <c r="T472" s="216"/>
      <c r="U472" s="214"/>
      <c r="V472" s="491"/>
      <c r="W472" s="491"/>
      <c r="X472" s="491"/>
      <c r="Y472" s="491"/>
      <c r="Z472" s="491"/>
      <c r="AA472" s="491"/>
      <c r="AB472" s="491"/>
      <c r="AC472" s="491"/>
      <c r="AD472" s="491"/>
      <c r="AE472" s="491"/>
      <c r="AF472" s="491"/>
      <c r="AG472" s="491"/>
      <c r="AH472" s="193"/>
    </row>
    <row r="473" spans="1:34" x14ac:dyDescent="0.25">
      <c r="A473" s="193"/>
      <c r="B473" s="491"/>
      <c r="C473" s="500"/>
      <c r="D473" s="491"/>
      <c r="E473" s="491"/>
      <c r="F473" s="491"/>
      <c r="G473" s="491"/>
      <c r="H473" s="491"/>
      <c r="I473" s="491"/>
      <c r="J473" s="491"/>
      <c r="K473" s="491"/>
      <c r="L473" s="491"/>
      <c r="M473" s="491"/>
      <c r="N473" s="491"/>
      <c r="O473" s="491"/>
      <c r="P473" s="491"/>
      <c r="Q473" s="491"/>
      <c r="R473" s="217"/>
      <c r="S473" s="218"/>
      <c r="T473" s="218"/>
      <c r="U473" s="219"/>
      <c r="V473" s="491"/>
      <c r="W473" s="491"/>
      <c r="X473" s="491"/>
      <c r="Y473" s="491"/>
      <c r="Z473" s="491"/>
      <c r="AA473" s="491"/>
      <c r="AB473" s="491"/>
      <c r="AC473" s="491"/>
      <c r="AD473" s="491"/>
      <c r="AE473" s="491"/>
      <c r="AF473" s="491"/>
      <c r="AG473" s="491"/>
      <c r="AH473" s="193"/>
    </row>
    <row r="474" spans="1:34" ht="15.75" thickBot="1" x14ac:dyDescent="0.3">
      <c r="A474" s="193"/>
      <c r="B474" s="491"/>
      <c r="C474" s="500"/>
      <c r="D474" s="491"/>
      <c r="E474" s="491"/>
      <c r="F474" s="491"/>
      <c r="G474" s="491"/>
      <c r="H474" s="491"/>
      <c r="I474" s="491"/>
      <c r="J474" s="491"/>
      <c r="K474" s="491"/>
      <c r="L474" s="491"/>
      <c r="M474" s="491"/>
      <c r="N474" s="491"/>
      <c r="O474" s="491"/>
      <c r="P474" s="491"/>
      <c r="Q474" s="491"/>
      <c r="R474" s="213"/>
      <c r="S474" s="220"/>
      <c r="T474" s="220"/>
      <c r="U474" s="214"/>
      <c r="V474" s="491"/>
      <c r="W474" s="491"/>
      <c r="X474" s="491"/>
      <c r="Y474" s="491"/>
      <c r="Z474" s="491"/>
      <c r="AA474" s="491"/>
      <c r="AB474" s="491"/>
      <c r="AC474" s="491"/>
      <c r="AD474" s="491"/>
      <c r="AE474" s="491"/>
      <c r="AF474" s="491"/>
      <c r="AG474" s="491"/>
      <c r="AH474" s="193"/>
    </row>
    <row r="475" spans="1:34" x14ac:dyDescent="0.25">
      <c r="A475" s="193"/>
      <c r="B475" s="492"/>
      <c r="C475" s="501"/>
      <c r="D475" s="492"/>
      <c r="E475" s="492"/>
      <c r="F475" s="492"/>
      <c r="G475" s="492"/>
      <c r="H475" s="492"/>
      <c r="I475" s="492"/>
      <c r="J475" s="492"/>
      <c r="K475" s="492"/>
      <c r="L475" s="492"/>
      <c r="M475" s="492"/>
      <c r="N475" s="492"/>
      <c r="O475" s="492"/>
      <c r="P475" s="492"/>
      <c r="Q475" s="492"/>
      <c r="R475" s="221"/>
      <c r="S475" s="493">
        <f>L471/12</f>
        <v>22.33666666666667</v>
      </c>
      <c r="T475" s="493"/>
      <c r="U475" s="222"/>
      <c r="V475" s="492"/>
      <c r="W475" s="492"/>
      <c r="X475" s="492"/>
      <c r="Y475" s="492"/>
      <c r="Z475" s="492"/>
      <c r="AA475" s="492"/>
      <c r="AB475" s="492"/>
      <c r="AC475" s="492"/>
      <c r="AD475" s="492"/>
      <c r="AE475" s="492"/>
      <c r="AF475" s="492"/>
      <c r="AG475" s="492"/>
      <c r="AH475" s="193"/>
    </row>
    <row r="476" spans="1:34" x14ac:dyDescent="0.25">
      <c r="A476" s="193"/>
      <c r="B476" s="490"/>
      <c r="C476" s="499" t="s">
        <v>271</v>
      </c>
      <c r="D476" s="490">
        <v>5</v>
      </c>
      <c r="E476" s="490">
        <v>0.625</v>
      </c>
      <c r="F476" s="490"/>
      <c r="G476" s="490"/>
      <c r="H476" s="490"/>
      <c r="I476" s="490">
        <v>2</v>
      </c>
      <c r="J476" s="490">
        <v>2</v>
      </c>
      <c r="K476" s="490">
        <v>30</v>
      </c>
      <c r="L476" s="490">
        <v>30</v>
      </c>
      <c r="M476" s="490"/>
      <c r="N476" s="490"/>
      <c r="O476" s="490"/>
      <c r="P476" s="490"/>
      <c r="Q476" s="490"/>
      <c r="R476" s="213"/>
      <c r="S476" s="498"/>
      <c r="T476" s="498"/>
      <c r="U476" s="214"/>
      <c r="V476" s="490">
        <f>SUM(R476:U480)</f>
        <v>5</v>
      </c>
      <c r="W476" s="490">
        <f>+SUM(K476:Q480)</f>
        <v>60</v>
      </c>
      <c r="X476" s="490">
        <f>(+I476*J476*W476)/12</f>
        <v>20</v>
      </c>
      <c r="Y476" s="490">
        <f t="shared" ref="Y476:AF476" si="85">IF(Y$4=$D476,$X476*Y$5,0)</f>
        <v>0</v>
      </c>
      <c r="Z476" s="490">
        <f t="shared" si="85"/>
        <v>0</v>
      </c>
      <c r="AA476" s="490">
        <f t="shared" si="85"/>
        <v>20.86</v>
      </c>
      <c r="AB476" s="490">
        <f t="shared" si="85"/>
        <v>0</v>
      </c>
      <c r="AC476" s="490">
        <f t="shared" si="85"/>
        <v>0</v>
      </c>
      <c r="AD476" s="490">
        <f t="shared" si="85"/>
        <v>0</v>
      </c>
      <c r="AE476" s="490">
        <f t="shared" si="85"/>
        <v>0</v>
      </c>
      <c r="AF476" s="490">
        <f t="shared" si="85"/>
        <v>0</v>
      </c>
      <c r="AG476" s="490"/>
      <c r="AH476" s="193"/>
    </row>
    <row r="477" spans="1:34" x14ac:dyDescent="0.25">
      <c r="A477" s="193"/>
      <c r="B477" s="491"/>
      <c r="C477" s="500"/>
      <c r="D477" s="491"/>
      <c r="E477" s="491"/>
      <c r="F477" s="491"/>
      <c r="G477" s="491"/>
      <c r="H477" s="491"/>
      <c r="I477" s="491"/>
      <c r="J477" s="491"/>
      <c r="K477" s="491"/>
      <c r="L477" s="491"/>
      <c r="M477" s="491"/>
      <c r="N477" s="491"/>
      <c r="O477" s="491"/>
      <c r="P477" s="491"/>
      <c r="Q477" s="491"/>
      <c r="R477" s="213"/>
      <c r="S477" s="215"/>
      <c r="T477" s="216"/>
      <c r="U477" s="214"/>
      <c r="V477" s="491"/>
      <c r="W477" s="491"/>
      <c r="X477" s="491"/>
      <c r="Y477" s="491"/>
      <c r="Z477" s="491"/>
      <c r="AA477" s="491"/>
      <c r="AB477" s="491"/>
      <c r="AC477" s="491"/>
      <c r="AD477" s="491"/>
      <c r="AE477" s="491"/>
      <c r="AF477" s="491"/>
      <c r="AG477" s="491"/>
      <c r="AH477" s="193"/>
    </row>
    <row r="478" spans="1:34" x14ac:dyDescent="0.25">
      <c r="A478" s="193"/>
      <c r="B478" s="491"/>
      <c r="C478" s="500"/>
      <c r="D478" s="491"/>
      <c r="E478" s="491"/>
      <c r="F478" s="491"/>
      <c r="G478" s="491"/>
      <c r="H478" s="491"/>
      <c r="I478" s="491"/>
      <c r="J478" s="491"/>
      <c r="K478" s="491"/>
      <c r="L478" s="491"/>
      <c r="M478" s="491"/>
      <c r="N478" s="491"/>
      <c r="O478" s="491"/>
      <c r="P478" s="491"/>
      <c r="Q478" s="491"/>
      <c r="R478" s="217">
        <f>K476/12</f>
        <v>2.5</v>
      </c>
      <c r="S478" s="223"/>
      <c r="T478" s="195"/>
      <c r="U478" s="219"/>
      <c r="V478" s="491"/>
      <c r="W478" s="491"/>
      <c r="X478" s="491"/>
      <c r="Y478" s="491"/>
      <c r="Z478" s="491"/>
      <c r="AA478" s="491"/>
      <c r="AB478" s="491"/>
      <c r="AC478" s="491"/>
      <c r="AD478" s="491"/>
      <c r="AE478" s="491"/>
      <c r="AF478" s="491"/>
      <c r="AG478" s="491"/>
      <c r="AH478" s="193"/>
    </row>
    <row r="479" spans="1:34" ht="15.75" thickBot="1" x14ac:dyDescent="0.3">
      <c r="A479" s="193"/>
      <c r="B479" s="491"/>
      <c r="C479" s="500"/>
      <c r="D479" s="491"/>
      <c r="E479" s="491"/>
      <c r="F479" s="491"/>
      <c r="G479" s="491"/>
      <c r="H479" s="491"/>
      <c r="I479" s="491"/>
      <c r="J479" s="491"/>
      <c r="K479" s="491"/>
      <c r="L479" s="491"/>
      <c r="M479" s="491"/>
      <c r="N479" s="491"/>
      <c r="O479" s="491"/>
      <c r="P479" s="491"/>
      <c r="Q479" s="491"/>
      <c r="R479" s="213"/>
      <c r="S479" s="224"/>
      <c r="T479" s="220"/>
      <c r="U479" s="214"/>
      <c r="V479" s="491"/>
      <c r="W479" s="491"/>
      <c r="X479" s="491"/>
      <c r="Y479" s="491"/>
      <c r="Z479" s="491"/>
      <c r="AA479" s="491"/>
      <c r="AB479" s="491"/>
      <c r="AC479" s="491"/>
      <c r="AD479" s="491"/>
      <c r="AE479" s="491"/>
      <c r="AF479" s="491"/>
      <c r="AG479" s="491"/>
      <c r="AH479" s="193"/>
    </row>
    <row r="480" spans="1:34" x14ac:dyDescent="0.25">
      <c r="A480" s="193"/>
      <c r="B480" s="492"/>
      <c r="C480" s="501"/>
      <c r="D480" s="492"/>
      <c r="E480" s="492"/>
      <c r="F480" s="492"/>
      <c r="G480" s="492"/>
      <c r="H480" s="492"/>
      <c r="I480" s="492"/>
      <c r="J480" s="492"/>
      <c r="K480" s="492"/>
      <c r="L480" s="492"/>
      <c r="M480" s="492"/>
      <c r="N480" s="492"/>
      <c r="O480" s="492"/>
      <c r="P480" s="492"/>
      <c r="Q480" s="492"/>
      <c r="R480" s="221"/>
      <c r="S480" s="493">
        <f>L476/12</f>
        <v>2.5</v>
      </c>
      <c r="T480" s="493"/>
      <c r="U480" s="222"/>
      <c r="V480" s="492"/>
      <c r="W480" s="492"/>
      <c r="X480" s="492"/>
      <c r="Y480" s="492"/>
      <c r="Z480" s="492"/>
      <c r="AA480" s="492"/>
      <c r="AB480" s="492"/>
      <c r="AC480" s="492"/>
      <c r="AD480" s="492"/>
      <c r="AE480" s="492"/>
      <c r="AF480" s="492"/>
      <c r="AG480" s="492"/>
      <c r="AH480" s="193"/>
    </row>
    <row r="481" spans="1:34" x14ac:dyDescent="0.25">
      <c r="A481" s="193"/>
      <c r="B481" s="490"/>
      <c r="C481" s="490" t="s">
        <v>277</v>
      </c>
      <c r="D481" s="490">
        <v>5</v>
      </c>
      <c r="E481" s="490">
        <v>0.625</v>
      </c>
      <c r="F481" s="494">
        <v>16</v>
      </c>
      <c r="G481" s="229"/>
      <c r="H481" s="490"/>
      <c r="I481" s="490">
        <f>ROUNDUP(G471/F481,0)</f>
        <v>18</v>
      </c>
      <c r="J481" s="490">
        <v>1</v>
      </c>
      <c r="K481" s="490">
        <v>6</v>
      </c>
      <c r="L481" s="490">
        <f>4*12-2</f>
        <v>46</v>
      </c>
      <c r="M481" s="490">
        <f>11*12</f>
        <v>132</v>
      </c>
      <c r="N481" s="490"/>
      <c r="O481" s="490"/>
      <c r="P481" s="490"/>
      <c r="Q481" s="490"/>
      <c r="R481" s="213"/>
      <c r="S481" s="498"/>
      <c r="T481" s="498"/>
      <c r="U481" s="214"/>
      <c r="V481" s="490">
        <f>SUM(R481:U485)</f>
        <v>15.333333333333334</v>
      </c>
      <c r="W481" s="490">
        <f>+SUM(K481:Q485)</f>
        <v>184</v>
      </c>
      <c r="X481" s="490">
        <f>(+I481*J481*W481)/12</f>
        <v>276</v>
      </c>
      <c r="Y481" s="490">
        <f t="shared" ref="Y481:AF481" si="86">IF(Y$4=$D481,$X481*Y$5,0)</f>
        <v>0</v>
      </c>
      <c r="Z481" s="490">
        <f t="shared" si="86"/>
        <v>0</v>
      </c>
      <c r="AA481" s="490">
        <f t="shared" si="86"/>
        <v>287.86799999999999</v>
      </c>
      <c r="AB481" s="490">
        <f t="shared" si="86"/>
        <v>0</v>
      </c>
      <c r="AC481" s="490">
        <f t="shared" si="86"/>
        <v>0</v>
      </c>
      <c r="AD481" s="490">
        <f t="shared" si="86"/>
        <v>0</v>
      </c>
      <c r="AE481" s="490">
        <f t="shared" si="86"/>
        <v>0</v>
      </c>
      <c r="AF481" s="490">
        <f t="shared" si="86"/>
        <v>0</v>
      </c>
      <c r="AG481" s="490"/>
      <c r="AH481" s="193"/>
    </row>
    <row r="482" spans="1:34" x14ac:dyDescent="0.25">
      <c r="A482" s="193"/>
      <c r="B482" s="491"/>
      <c r="C482" s="491"/>
      <c r="D482" s="491"/>
      <c r="E482" s="491"/>
      <c r="F482" s="495"/>
      <c r="G482" s="230"/>
      <c r="H482" s="491"/>
      <c r="I482" s="491"/>
      <c r="J482" s="491"/>
      <c r="K482" s="491"/>
      <c r="L482" s="491"/>
      <c r="M482" s="491"/>
      <c r="N482" s="491"/>
      <c r="O482" s="491"/>
      <c r="P482" s="491"/>
      <c r="Q482" s="491"/>
      <c r="R482" s="213"/>
      <c r="S482" s="215"/>
      <c r="T482" s="216"/>
      <c r="U482" s="214"/>
      <c r="V482" s="491"/>
      <c r="W482" s="491"/>
      <c r="X482" s="491"/>
      <c r="Y482" s="491"/>
      <c r="Z482" s="491"/>
      <c r="AA482" s="491"/>
      <c r="AB482" s="491"/>
      <c r="AC482" s="491"/>
      <c r="AD482" s="491"/>
      <c r="AE482" s="491"/>
      <c r="AF482" s="491"/>
      <c r="AG482" s="491"/>
      <c r="AH482" s="193"/>
    </row>
    <row r="483" spans="1:34" x14ac:dyDescent="0.25">
      <c r="A483" s="193"/>
      <c r="B483" s="491"/>
      <c r="C483" s="491"/>
      <c r="D483" s="491"/>
      <c r="E483" s="491"/>
      <c r="F483" s="495"/>
      <c r="G483" s="230"/>
      <c r="H483" s="491"/>
      <c r="I483" s="491"/>
      <c r="J483" s="491"/>
      <c r="K483" s="491"/>
      <c r="L483" s="491"/>
      <c r="M483" s="491"/>
      <c r="N483" s="491"/>
      <c r="O483" s="491"/>
      <c r="P483" s="491"/>
      <c r="Q483" s="491"/>
      <c r="R483" s="225">
        <f>K481/12</f>
        <v>0.5</v>
      </c>
      <c r="S483" s="218"/>
      <c r="T483" s="218"/>
      <c r="U483" s="219"/>
      <c r="V483" s="491"/>
      <c r="W483" s="491"/>
      <c r="X483" s="491"/>
      <c r="Y483" s="491"/>
      <c r="Z483" s="491"/>
      <c r="AA483" s="491"/>
      <c r="AB483" s="491"/>
      <c r="AC483" s="491"/>
      <c r="AD483" s="491"/>
      <c r="AE483" s="491"/>
      <c r="AF483" s="491"/>
      <c r="AG483" s="491"/>
      <c r="AH483" s="193"/>
    </row>
    <row r="484" spans="1:34" ht="15.75" thickBot="1" x14ac:dyDescent="0.3">
      <c r="A484" s="193"/>
      <c r="B484" s="491"/>
      <c r="C484" s="491"/>
      <c r="D484" s="491"/>
      <c r="E484" s="491"/>
      <c r="F484" s="495"/>
      <c r="G484" s="230"/>
      <c r="H484" s="491"/>
      <c r="I484" s="491"/>
      <c r="J484" s="491"/>
      <c r="K484" s="491"/>
      <c r="L484" s="491"/>
      <c r="M484" s="491"/>
      <c r="N484" s="491"/>
      <c r="O484" s="491"/>
      <c r="P484" s="491"/>
      <c r="Q484" s="491"/>
      <c r="R484" s="226"/>
      <c r="S484" s="220"/>
      <c r="T484" s="220"/>
      <c r="U484" s="214"/>
      <c r="V484" s="491"/>
      <c r="W484" s="491"/>
      <c r="X484" s="491"/>
      <c r="Y484" s="491"/>
      <c r="Z484" s="491"/>
      <c r="AA484" s="491"/>
      <c r="AB484" s="491"/>
      <c r="AC484" s="491"/>
      <c r="AD484" s="491"/>
      <c r="AE484" s="491"/>
      <c r="AF484" s="491"/>
      <c r="AG484" s="491"/>
      <c r="AH484" s="193"/>
    </row>
    <row r="485" spans="1:34" x14ac:dyDescent="0.25">
      <c r="A485" s="193"/>
      <c r="B485" s="492"/>
      <c r="C485" s="492"/>
      <c r="D485" s="491"/>
      <c r="E485" s="491"/>
      <c r="F485" s="496"/>
      <c r="G485" s="231"/>
      <c r="H485" s="492"/>
      <c r="I485" s="492"/>
      <c r="J485" s="492"/>
      <c r="K485" s="492"/>
      <c r="L485" s="492"/>
      <c r="M485" s="492"/>
      <c r="N485" s="492"/>
      <c r="O485" s="492"/>
      <c r="P485" s="492"/>
      <c r="Q485" s="492"/>
      <c r="R485" s="221"/>
      <c r="S485" s="493">
        <f>+SUM(L481:M485)/12</f>
        <v>14.833333333333334</v>
      </c>
      <c r="T485" s="493"/>
      <c r="U485" s="222"/>
      <c r="V485" s="492"/>
      <c r="W485" s="492"/>
      <c r="X485" s="492"/>
      <c r="Y485" s="492"/>
      <c r="Z485" s="492"/>
      <c r="AA485" s="492"/>
      <c r="AB485" s="492"/>
      <c r="AC485" s="492"/>
      <c r="AD485" s="492"/>
      <c r="AE485" s="492"/>
      <c r="AF485" s="492"/>
      <c r="AG485" s="492"/>
      <c r="AH485" s="193"/>
    </row>
    <row r="486" spans="1:34" x14ac:dyDescent="0.25">
      <c r="A486" s="193"/>
      <c r="B486" s="490"/>
      <c r="C486" s="490" t="s">
        <v>286</v>
      </c>
      <c r="D486" s="490">
        <v>5</v>
      </c>
      <c r="E486" s="490">
        <v>0.625</v>
      </c>
      <c r="F486" s="494">
        <v>16</v>
      </c>
      <c r="G486" s="229"/>
      <c r="H486" s="490"/>
      <c r="I486" s="490">
        <f>ROUNDUP(M481/F486,0)</f>
        <v>9</v>
      </c>
      <c r="J486" s="490">
        <v>1</v>
      </c>
      <c r="K486" s="490"/>
      <c r="L486" s="490">
        <f>G469-2-2</f>
        <v>268.04000000000002</v>
      </c>
      <c r="M486" s="490"/>
      <c r="N486" s="490"/>
      <c r="O486" s="490"/>
      <c r="P486" s="490"/>
      <c r="Q486" s="490"/>
      <c r="R486" s="213"/>
      <c r="S486" s="498"/>
      <c r="T486" s="498"/>
      <c r="U486" s="214"/>
      <c r="V486" s="490">
        <f>SUM(R486:U490)</f>
        <v>22.33666666666667</v>
      </c>
      <c r="W486" s="490">
        <f>+SUM(K486:Q490)</f>
        <v>268.04000000000002</v>
      </c>
      <c r="X486" s="490">
        <f>(+I486*J486*W486)/12</f>
        <v>201.03</v>
      </c>
      <c r="Y486" s="490">
        <f t="shared" ref="Y486:AF486" si="87">IF(Y$4=$D486,$X486*Y$5,0)</f>
        <v>0</v>
      </c>
      <c r="Z486" s="490">
        <f t="shared" si="87"/>
        <v>0</v>
      </c>
      <c r="AA486" s="490">
        <f t="shared" si="87"/>
        <v>209.67428999999998</v>
      </c>
      <c r="AB486" s="490">
        <f t="shared" si="87"/>
        <v>0</v>
      </c>
      <c r="AC486" s="490">
        <f t="shared" si="87"/>
        <v>0</v>
      </c>
      <c r="AD486" s="490">
        <f t="shared" si="87"/>
        <v>0</v>
      </c>
      <c r="AE486" s="490">
        <f t="shared" si="87"/>
        <v>0</v>
      </c>
      <c r="AF486" s="490">
        <f t="shared" si="87"/>
        <v>0</v>
      </c>
      <c r="AG486" s="490"/>
      <c r="AH486" s="193"/>
    </row>
    <row r="487" spans="1:34" x14ac:dyDescent="0.25">
      <c r="A487" s="193"/>
      <c r="B487" s="491"/>
      <c r="C487" s="491"/>
      <c r="D487" s="491"/>
      <c r="E487" s="491"/>
      <c r="F487" s="495"/>
      <c r="G487" s="230"/>
      <c r="H487" s="491"/>
      <c r="I487" s="491"/>
      <c r="J487" s="491"/>
      <c r="K487" s="491"/>
      <c r="L487" s="491"/>
      <c r="M487" s="491"/>
      <c r="N487" s="491"/>
      <c r="O487" s="491"/>
      <c r="P487" s="491"/>
      <c r="Q487" s="491"/>
      <c r="R487" s="213"/>
      <c r="S487" s="215"/>
      <c r="T487" s="216"/>
      <c r="U487" s="214"/>
      <c r="V487" s="491"/>
      <c r="W487" s="491"/>
      <c r="X487" s="491"/>
      <c r="Y487" s="491"/>
      <c r="Z487" s="491"/>
      <c r="AA487" s="491"/>
      <c r="AB487" s="491"/>
      <c r="AC487" s="491"/>
      <c r="AD487" s="491"/>
      <c r="AE487" s="491"/>
      <c r="AF487" s="491"/>
      <c r="AG487" s="491"/>
      <c r="AH487" s="193"/>
    </row>
    <row r="488" spans="1:34" x14ac:dyDescent="0.25">
      <c r="A488" s="193"/>
      <c r="B488" s="491"/>
      <c r="C488" s="491"/>
      <c r="D488" s="491"/>
      <c r="E488" s="491"/>
      <c r="F488" s="495"/>
      <c r="G488" s="230"/>
      <c r="H488" s="491"/>
      <c r="I488" s="491"/>
      <c r="J488" s="491"/>
      <c r="K488" s="491"/>
      <c r="L488" s="491"/>
      <c r="M488" s="491"/>
      <c r="N488" s="491"/>
      <c r="O488" s="491"/>
      <c r="P488" s="491"/>
      <c r="Q488" s="497"/>
      <c r="R488" s="217"/>
      <c r="S488" s="218"/>
      <c r="T488" s="218"/>
      <c r="U488" s="219"/>
      <c r="V488" s="491"/>
      <c r="W488" s="491"/>
      <c r="X488" s="491"/>
      <c r="Y488" s="491"/>
      <c r="Z488" s="491"/>
      <c r="AA488" s="491"/>
      <c r="AB488" s="491"/>
      <c r="AC488" s="491"/>
      <c r="AD488" s="491"/>
      <c r="AE488" s="491"/>
      <c r="AF488" s="491"/>
      <c r="AG488" s="491"/>
      <c r="AH488" s="193"/>
    </row>
    <row r="489" spans="1:34" ht="15.75" thickBot="1" x14ac:dyDescent="0.3">
      <c r="A489" s="193"/>
      <c r="B489" s="491"/>
      <c r="C489" s="491"/>
      <c r="D489" s="491"/>
      <c r="E489" s="491"/>
      <c r="F489" s="495"/>
      <c r="G489" s="230"/>
      <c r="H489" s="491"/>
      <c r="I489" s="491"/>
      <c r="J489" s="491"/>
      <c r="K489" s="491"/>
      <c r="L489" s="491"/>
      <c r="M489" s="491"/>
      <c r="N489" s="491"/>
      <c r="O489" s="491"/>
      <c r="P489" s="491"/>
      <c r="Q489" s="497"/>
      <c r="R489" s="213"/>
      <c r="S489" s="220"/>
      <c r="T489" s="220"/>
      <c r="U489" s="214"/>
      <c r="V489" s="491"/>
      <c r="W489" s="491"/>
      <c r="X489" s="491"/>
      <c r="Y489" s="491"/>
      <c r="Z489" s="491"/>
      <c r="AA489" s="491"/>
      <c r="AB489" s="491"/>
      <c r="AC489" s="491"/>
      <c r="AD489" s="491"/>
      <c r="AE489" s="491"/>
      <c r="AF489" s="491"/>
      <c r="AG489" s="491"/>
      <c r="AH489" s="193"/>
    </row>
    <row r="490" spans="1:34" x14ac:dyDescent="0.25">
      <c r="A490" s="193"/>
      <c r="B490" s="492"/>
      <c r="C490" s="492"/>
      <c r="D490" s="491"/>
      <c r="E490" s="491"/>
      <c r="F490" s="496"/>
      <c r="G490" s="231"/>
      <c r="H490" s="492"/>
      <c r="I490" s="492"/>
      <c r="J490" s="492"/>
      <c r="K490" s="492"/>
      <c r="L490" s="492"/>
      <c r="M490" s="492"/>
      <c r="N490" s="492"/>
      <c r="O490" s="492"/>
      <c r="P490" s="492"/>
      <c r="Q490" s="492"/>
      <c r="R490" s="221"/>
      <c r="S490" s="493">
        <f>L486/12</f>
        <v>22.33666666666667</v>
      </c>
      <c r="T490" s="493"/>
      <c r="U490" s="222"/>
      <c r="V490" s="492"/>
      <c r="W490" s="492"/>
      <c r="X490" s="492"/>
      <c r="Y490" s="492"/>
      <c r="Z490" s="492"/>
      <c r="AA490" s="492"/>
      <c r="AB490" s="492"/>
      <c r="AC490" s="492"/>
      <c r="AD490" s="492"/>
      <c r="AE490" s="492"/>
      <c r="AF490" s="492"/>
      <c r="AG490" s="492"/>
      <c r="AH490" s="193"/>
    </row>
    <row r="491" spans="1:34" ht="15.75" thickBot="1" x14ac:dyDescent="0.3">
      <c r="A491" s="195"/>
      <c r="B491" s="200" t="s">
        <v>307</v>
      </c>
      <c r="C491" s="199" t="s">
        <v>284</v>
      </c>
      <c r="D491" s="197">
        <v>60</v>
      </c>
      <c r="E491" s="201">
        <v>8</v>
      </c>
      <c r="F491" s="202"/>
      <c r="G491" s="202">
        <f>20*12</f>
        <v>240</v>
      </c>
      <c r="H491" s="202">
        <v>16</v>
      </c>
      <c r="I491" s="202">
        <v>12</v>
      </c>
      <c r="J491" s="202">
        <v>12</v>
      </c>
      <c r="K491" s="199"/>
      <c r="L491" s="199"/>
      <c r="M491" s="199"/>
      <c r="N491" s="199"/>
      <c r="O491" s="199"/>
      <c r="P491" s="199"/>
      <c r="Q491" s="198"/>
      <c r="R491" s="196"/>
      <c r="S491" s="196"/>
      <c r="T491" s="196"/>
      <c r="U491" s="196"/>
      <c r="V491" s="203"/>
      <c r="W491" s="202"/>
      <c r="X491" s="202"/>
      <c r="Y491" s="199"/>
      <c r="Z491" s="199"/>
      <c r="AA491" s="199"/>
      <c r="AB491" s="199"/>
      <c r="AC491" s="199"/>
      <c r="AD491" s="199"/>
      <c r="AE491" s="199"/>
      <c r="AF491" s="199"/>
      <c r="AG491" s="199"/>
      <c r="AH491" s="195"/>
    </row>
    <row r="492" spans="1:34" ht="15.75" thickBot="1" x14ac:dyDescent="0.3">
      <c r="A492" s="193"/>
      <c r="B492" s="204"/>
      <c r="C492" s="205"/>
      <c r="D492" s="194"/>
      <c r="E492" s="206"/>
      <c r="F492" s="205"/>
      <c r="G492" s="205"/>
      <c r="H492" s="207">
        <v>3</v>
      </c>
      <c r="I492" s="207">
        <v>2</v>
      </c>
      <c r="J492" s="205"/>
      <c r="K492" s="205"/>
      <c r="L492" s="205"/>
      <c r="M492" s="205"/>
      <c r="N492" s="205"/>
      <c r="O492" s="205"/>
      <c r="P492" s="205"/>
      <c r="Q492" s="208"/>
      <c r="R492" s="209"/>
      <c r="S492" s="210"/>
      <c r="T492" s="210"/>
      <c r="U492" s="211"/>
      <c r="V492" s="212"/>
      <c r="W492" s="204"/>
      <c r="X492" s="204"/>
      <c r="Y492" s="205"/>
      <c r="Z492" s="205"/>
      <c r="AA492" s="205"/>
      <c r="AB492" s="205"/>
      <c r="AC492" s="205"/>
      <c r="AD492" s="205"/>
      <c r="AE492" s="205"/>
      <c r="AF492" s="205"/>
      <c r="AG492" s="205"/>
      <c r="AH492" s="193"/>
    </row>
    <row r="493" spans="1:34" x14ac:dyDescent="0.25">
      <c r="A493" s="193"/>
      <c r="B493" s="490"/>
      <c r="C493" s="499" t="s">
        <v>265</v>
      </c>
      <c r="D493" s="490">
        <v>5</v>
      </c>
      <c r="E493" s="490">
        <v>0.625</v>
      </c>
      <c r="F493" s="490"/>
      <c r="G493" s="490">
        <f>G491</f>
        <v>240</v>
      </c>
      <c r="H493" s="490"/>
      <c r="I493" s="490">
        <v>2</v>
      </c>
      <c r="J493" s="490">
        <v>1</v>
      </c>
      <c r="K493" s="490"/>
      <c r="L493" s="490">
        <f>G491-2-2</f>
        <v>236</v>
      </c>
      <c r="M493" s="490"/>
      <c r="N493" s="490"/>
      <c r="O493" s="490"/>
      <c r="P493" s="490"/>
      <c r="Q493" s="490"/>
      <c r="R493" s="213"/>
      <c r="S493" s="502"/>
      <c r="T493" s="502"/>
      <c r="U493" s="214"/>
      <c r="V493" s="490">
        <f>SUM(R493:U497)</f>
        <v>19.666666666666668</v>
      </c>
      <c r="W493" s="490">
        <f>+SUM(K493:Q497)</f>
        <v>236</v>
      </c>
      <c r="X493" s="490">
        <f>(+I493*J493*W493)/12</f>
        <v>39.333333333333336</v>
      </c>
      <c r="Y493" s="490">
        <f>IF(Y$4=$D493,$X493*Y$5,0)</f>
        <v>0</v>
      </c>
      <c r="Z493" s="490">
        <f t="shared" ref="Z493:AF493" si="88">IF(Z$4=$D493,$X493*Z$5,0)</f>
        <v>0</v>
      </c>
      <c r="AA493" s="490">
        <f t="shared" si="88"/>
        <v>41.024666666666668</v>
      </c>
      <c r="AB493" s="490">
        <f t="shared" si="88"/>
        <v>0</v>
      </c>
      <c r="AC493" s="490">
        <f t="shared" si="88"/>
        <v>0</v>
      </c>
      <c r="AD493" s="490">
        <f t="shared" si="88"/>
        <v>0</v>
      </c>
      <c r="AE493" s="490">
        <f t="shared" si="88"/>
        <v>0</v>
      </c>
      <c r="AF493" s="490">
        <f t="shared" si="88"/>
        <v>0</v>
      </c>
      <c r="AG493" s="490"/>
      <c r="AH493" s="193"/>
    </row>
    <row r="494" spans="1:34" x14ac:dyDescent="0.25">
      <c r="A494" s="193"/>
      <c r="B494" s="491"/>
      <c r="C494" s="500"/>
      <c r="D494" s="491"/>
      <c r="E494" s="491"/>
      <c r="F494" s="491"/>
      <c r="G494" s="491"/>
      <c r="H494" s="491"/>
      <c r="I494" s="491"/>
      <c r="J494" s="491"/>
      <c r="K494" s="491"/>
      <c r="L494" s="491"/>
      <c r="M494" s="491"/>
      <c r="N494" s="491"/>
      <c r="O494" s="491"/>
      <c r="P494" s="491"/>
      <c r="Q494" s="491"/>
      <c r="R494" s="213"/>
      <c r="S494" s="215"/>
      <c r="T494" s="216"/>
      <c r="U494" s="214"/>
      <c r="V494" s="491"/>
      <c r="W494" s="491"/>
      <c r="X494" s="491"/>
      <c r="Y494" s="491"/>
      <c r="Z494" s="491"/>
      <c r="AA494" s="491"/>
      <c r="AB494" s="491"/>
      <c r="AC494" s="491"/>
      <c r="AD494" s="491"/>
      <c r="AE494" s="491"/>
      <c r="AF494" s="491"/>
      <c r="AG494" s="491"/>
      <c r="AH494" s="193"/>
    </row>
    <row r="495" spans="1:34" x14ac:dyDescent="0.25">
      <c r="A495" s="193"/>
      <c r="B495" s="491"/>
      <c r="C495" s="500"/>
      <c r="D495" s="491"/>
      <c r="E495" s="491"/>
      <c r="F495" s="491"/>
      <c r="G495" s="491"/>
      <c r="H495" s="491"/>
      <c r="I495" s="491"/>
      <c r="J495" s="491"/>
      <c r="K495" s="491"/>
      <c r="L495" s="491"/>
      <c r="M495" s="491"/>
      <c r="N495" s="491"/>
      <c r="O495" s="491"/>
      <c r="P495" s="491"/>
      <c r="Q495" s="491"/>
      <c r="R495" s="217"/>
      <c r="S495" s="218"/>
      <c r="T495" s="218"/>
      <c r="U495" s="219"/>
      <c r="V495" s="491"/>
      <c r="W495" s="491"/>
      <c r="X495" s="491"/>
      <c r="Y495" s="491"/>
      <c r="Z495" s="491"/>
      <c r="AA495" s="491"/>
      <c r="AB495" s="491"/>
      <c r="AC495" s="491"/>
      <c r="AD495" s="491"/>
      <c r="AE495" s="491"/>
      <c r="AF495" s="491"/>
      <c r="AG495" s="491"/>
      <c r="AH495" s="193"/>
    </row>
    <row r="496" spans="1:34" ht="15.75" thickBot="1" x14ac:dyDescent="0.3">
      <c r="A496" s="193"/>
      <c r="B496" s="491"/>
      <c r="C496" s="500"/>
      <c r="D496" s="491"/>
      <c r="E496" s="491"/>
      <c r="F496" s="491"/>
      <c r="G496" s="491"/>
      <c r="H496" s="491"/>
      <c r="I496" s="491"/>
      <c r="J496" s="491"/>
      <c r="K496" s="491"/>
      <c r="L496" s="491"/>
      <c r="M496" s="491"/>
      <c r="N496" s="491"/>
      <c r="O496" s="491"/>
      <c r="P496" s="491"/>
      <c r="Q496" s="491"/>
      <c r="R496" s="213"/>
      <c r="S496" s="220"/>
      <c r="T496" s="220"/>
      <c r="U496" s="214"/>
      <c r="V496" s="491"/>
      <c r="W496" s="491"/>
      <c r="X496" s="491"/>
      <c r="Y496" s="491"/>
      <c r="Z496" s="491"/>
      <c r="AA496" s="491"/>
      <c r="AB496" s="491"/>
      <c r="AC496" s="491"/>
      <c r="AD496" s="491"/>
      <c r="AE496" s="491"/>
      <c r="AF496" s="491"/>
      <c r="AG496" s="491"/>
      <c r="AH496" s="193"/>
    </row>
    <row r="497" spans="1:34" x14ac:dyDescent="0.25">
      <c r="A497" s="193"/>
      <c r="B497" s="492"/>
      <c r="C497" s="501"/>
      <c r="D497" s="492"/>
      <c r="E497" s="492"/>
      <c r="F497" s="492"/>
      <c r="G497" s="492"/>
      <c r="H497" s="492"/>
      <c r="I497" s="492"/>
      <c r="J497" s="492"/>
      <c r="K497" s="492"/>
      <c r="L497" s="492"/>
      <c r="M497" s="492"/>
      <c r="N497" s="492"/>
      <c r="O497" s="492"/>
      <c r="P497" s="492"/>
      <c r="Q497" s="492"/>
      <c r="R497" s="221"/>
      <c r="S497" s="493">
        <f>L493/12</f>
        <v>19.666666666666668</v>
      </c>
      <c r="T497" s="493"/>
      <c r="U497" s="222"/>
      <c r="V497" s="492"/>
      <c r="W497" s="492"/>
      <c r="X497" s="492"/>
      <c r="Y497" s="492"/>
      <c r="Z497" s="492"/>
      <c r="AA497" s="492"/>
      <c r="AB497" s="492"/>
      <c r="AC497" s="492"/>
      <c r="AD497" s="492"/>
      <c r="AE497" s="492"/>
      <c r="AF497" s="492"/>
      <c r="AG497" s="492"/>
      <c r="AH497" s="193"/>
    </row>
    <row r="498" spans="1:34" x14ac:dyDescent="0.25">
      <c r="A498" s="193"/>
      <c r="B498" s="490"/>
      <c r="C498" s="499" t="s">
        <v>271</v>
      </c>
      <c r="D498" s="490">
        <v>5</v>
      </c>
      <c r="E498" s="490">
        <v>0.625</v>
      </c>
      <c r="F498" s="490"/>
      <c r="G498" s="490"/>
      <c r="H498" s="490"/>
      <c r="I498" s="490">
        <v>2</v>
      </c>
      <c r="J498" s="490">
        <v>2</v>
      </c>
      <c r="K498" s="490">
        <v>30</v>
      </c>
      <c r="L498" s="490">
        <v>30</v>
      </c>
      <c r="M498" s="490"/>
      <c r="N498" s="490"/>
      <c r="O498" s="490"/>
      <c r="P498" s="490"/>
      <c r="Q498" s="490"/>
      <c r="R498" s="213"/>
      <c r="S498" s="498"/>
      <c r="T498" s="498"/>
      <c r="U498" s="214"/>
      <c r="V498" s="490">
        <f>SUM(R498:U502)</f>
        <v>5</v>
      </c>
      <c r="W498" s="490">
        <f>+SUM(K498:Q502)</f>
        <v>60</v>
      </c>
      <c r="X498" s="490">
        <f>(+I498*J498*W498)/12</f>
        <v>20</v>
      </c>
      <c r="Y498" s="490">
        <f t="shared" ref="Y498:AF498" si="89">IF(Y$4=$D498,$X498*Y$5,0)</f>
        <v>0</v>
      </c>
      <c r="Z498" s="490">
        <f t="shared" si="89"/>
        <v>0</v>
      </c>
      <c r="AA498" s="490">
        <f t="shared" si="89"/>
        <v>20.86</v>
      </c>
      <c r="AB498" s="490">
        <f t="shared" si="89"/>
        <v>0</v>
      </c>
      <c r="AC498" s="490">
        <f t="shared" si="89"/>
        <v>0</v>
      </c>
      <c r="AD498" s="490">
        <f t="shared" si="89"/>
        <v>0</v>
      </c>
      <c r="AE498" s="490">
        <f t="shared" si="89"/>
        <v>0</v>
      </c>
      <c r="AF498" s="490">
        <f t="shared" si="89"/>
        <v>0</v>
      </c>
      <c r="AG498" s="490"/>
      <c r="AH498" s="193"/>
    </row>
    <row r="499" spans="1:34" x14ac:dyDescent="0.25">
      <c r="A499" s="193"/>
      <c r="B499" s="491"/>
      <c r="C499" s="500"/>
      <c r="D499" s="491"/>
      <c r="E499" s="491"/>
      <c r="F499" s="491"/>
      <c r="G499" s="491"/>
      <c r="H499" s="491"/>
      <c r="I499" s="491"/>
      <c r="J499" s="491"/>
      <c r="K499" s="491"/>
      <c r="L499" s="491"/>
      <c r="M499" s="491"/>
      <c r="N499" s="491"/>
      <c r="O499" s="491"/>
      <c r="P499" s="491"/>
      <c r="Q499" s="491"/>
      <c r="R499" s="213"/>
      <c r="S499" s="215"/>
      <c r="T499" s="216"/>
      <c r="U499" s="214"/>
      <c r="V499" s="491"/>
      <c r="W499" s="491"/>
      <c r="X499" s="491"/>
      <c r="Y499" s="491"/>
      <c r="Z499" s="491"/>
      <c r="AA499" s="491"/>
      <c r="AB499" s="491"/>
      <c r="AC499" s="491"/>
      <c r="AD499" s="491"/>
      <c r="AE499" s="491"/>
      <c r="AF499" s="491"/>
      <c r="AG499" s="491"/>
      <c r="AH499" s="193"/>
    </row>
    <row r="500" spans="1:34" x14ac:dyDescent="0.25">
      <c r="A500" s="193"/>
      <c r="B500" s="491"/>
      <c r="C500" s="500"/>
      <c r="D500" s="491"/>
      <c r="E500" s="491"/>
      <c r="F500" s="491"/>
      <c r="G500" s="491"/>
      <c r="H500" s="491"/>
      <c r="I500" s="491"/>
      <c r="J500" s="491"/>
      <c r="K500" s="491"/>
      <c r="L500" s="491"/>
      <c r="M500" s="491"/>
      <c r="N500" s="491"/>
      <c r="O500" s="491"/>
      <c r="P500" s="491"/>
      <c r="Q500" s="491"/>
      <c r="R500" s="217">
        <f>K498/12</f>
        <v>2.5</v>
      </c>
      <c r="S500" s="223"/>
      <c r="T500" s="195"/>
      <c r="U500" s="219"/>
      <c r="V500" s="491"/>
      <c r="W500" s="491"/>
      <c r="X500" s="491"/>
      <c r="Y500" s="491"/>
      <c r="Z500" s="491"/>
      <c r="AA500" s="491"/>
      <c r="AB500" s="491"/>
      <c r="AC500" s="491"/>
      <c r="AD500" s="491"/>
      <c r="AE500" s="491"/>
      <c r="AF500" s="491"/>
      <c r="AG500" s="491"/>
      <c r="AH500" s="193"/>
    </row>
    <row r="501" spans="1:34" ht="15.75" thickBot="1" x14ac:dyDescent="0.3">
      <c r="A501" s="193"/>
      <c r="B501" s="491"/>
      <c r="C501" s="500"/>
      <c r="D501" s="491"/>
      <c r="E501" s="491"/>
      <c r="F501" s="491"/>
      <c r="G501" s="491"/>
      <c r="H501" s="491"/>
      <c r="I501" s="491"/>
      <c r="J501" s="491"/>
      <c r="K501" s="491"/>
      <c r="L501" s="491"/>
      <c r="M501" s="491"/>
      <c r="N501" s="491"/>
      <c r="O501" s="491"/>
      <c r="P501" s="491"/>
      <c r="Q501" s="491"/>
      <c r="R501" s="213"/>
      <c r="S501" s="224"/>
      <c r="T501" s="220"/>
      <c r="U501" s="214"/>
      <c r="V501" s="491"/>
      <c r="W501" s="491"/>
      <c r="X501" s="491"/>
      <c r="Y501" s="491"/>
      <c r="Z501" s="491"/>
      <c r="AA501" s="491"/>
      <c r="AB501" s="491"/>
      <c r="AC501" s="491"/>
      <c r="AD501" s="491"/>
      <c r="AE501" s="491"/>
      <c r="AF501" s="491"/>
      <c r="AG501" s="491"/>
      <c r="AH501" s="193"/>
    </row>
    <row r="502" spans="1:34" x14ac:dyDescent="0.25">
      <c r="A502" s="193"/>
      <c r="B502" s="492"/>
      <c r="C502" s="501"/>
      <c r="D502" s="492"/>
      <c r="E502" s="492"/>
      <c r="F502" s="492"/>
      <c r="G502" s="492"/>
      <c r="H502" s="492"/>
      <c r="I502" s="492"/>
      <c r="J502" s="492"/>
      <c r="K502" s="492"/>
      <c r="L502" s="492"/>
      <c r="M502" s="492"/>
      <c r="N502" s="492"/>
      <c r="O502" s="492"/>
      <c r="P502" s="492"/>
      <c r="Q502" s="492"/>
      <c r="R502" s="221"/>
      <c r="S502" s="493">
        <f>L498/12</f>
        <v>2.5</v>
      </c>
      <c r="T502" s="493"/>
      <c r="U502" s="222"/>
      <c r="V502" s="492"/>
      <c r="W502" s="492"/>
      <c r="X502" s="492"/>
      <c r="Y502" s="492"/>
      <c r="Z502" s="492"/>
      <c r="AA502" s="492"/>
      <c r="AB502" s="492"/>
      <c r="AC502" s="492"/>
      <c r="AD502" s="492"/>
      <c r="AE502" s="492"/>
      <c r="AF502" s="492"/>
      <c r="AG502" s="492"/>
      <c r="AH502" s="193"/>
    </row>
    <row r="503" spans="1:34" x14ac:dyDescent="0.25">
      <c r="A503" s="193"/>
      <c r="B503" s="490"/>
      <c r="C503" s="490" t="s">
        <v>277</v>
      </c>
      <c r="D503" s="490">
        <v>5</v>
      </c>
      <c r="E503" s="490">
        <v>0.625</v>
      </c>
      <c r="F503" s="494">
        <v>16</v>
      </c>
      <c r="G503" s="229"/>
      <c r="H503" s="490"/>
      <c r="I503" s="490">
        <f>ROUNDUP(G493/F503,0)</f>
        <v>15</v>
      </c>
      <c r="J503" s="490">
        <v>1</v>
      </c>
      <c r="K503" s="490">
        <v>6</v>
      </c>
      <c r="L503" s="490">
        <f>4*12-2</f>
        <v>46</v>
      </c>
      <c r="M503" s="490">
        <f>11*12</f>
        <v>132</v>
      </c>
      <c r="N503" s="490"/>
      <c r="O503" s="490"/>
      <c r="P503" s="490"/>
      <c r="Q503" s="490"/>
      <c r="R503" s="213"/>
      <c r="S503" s="498"/>
      <c r="T503" s="498"/>
      <c r="U503" s="214"/>
      <c r="V503" s="490">
        <f>SUM(R503:U507)</f>
        <v>15.333333333333334</v>
      </c>
      <c r="W503" s="490">
        <f>+SUM(K503:Q507)</f>
        <v>184</v>
      </c>
      <c r="X503" s="490">
        <f>(+I503*J503*W503)/12</f>
        <v>230</v>
      </c>
      <c r="Y503" s="490">
        <f t="shared" ref="Y503:AF503" si="90">IF(Y$4=$D503,$X503*Y$5,0)</f>
        <v>0</v>
      </c>
      <c r="Z503" s="490">
        <f t="shared" si="90"/>
        <v>0</v>
      </c>
      <c r="AA503" s="490">
        <f t="shared" si="90"/>
        <v>239.89</v>
      </c>
      <c r="AB503" s="490">
        <f t="shared" si="90"/>
        <v>0</v>
      </c>
      <c r="AC503" s="490">
        <f t="shared" si="90"/>
        <v>0</v>
      </c>
      <c r="AD503" s="490">
        <f t="shared" si="90"/>
        <v>0</v>
      </c>
      <c r="AE503" s="490">
        <f t="shared" si="90"/>
        <v>0</v>
      </c>
      <c r="AF503" s="490">
        <f t="shared" si="90"/>
        <v>0</v>
      </c>
      <c r="AG503" s="490"/>
      <c r="AH503" s="193"/>
    </row>
    <row r="504" spans="1:34" x14ac:dyDescent="0.25">
      <c r="A504" s="193"/>
      <c r="B504" s="491"/>
      <c r="C504" s="491"/>
      <c r="D504" s="491"/>
      <c r="E504" s="491"/>
      <c r="F504" s="495"/>
      <c r="G504" s="230"/>
      <c r="H504" s="491"/>
      <c r="I504" s="491"/>
      <c r="J504" s="491"/>
      <c r="K504" s="491"/>
      <c r="L504" s="491"/>
      <c r="M504" s="491"/>
      <c r="N504" s="491"/>
      <c r="O504" s="491"/>
      <c r="P504" s="491"/>
      <c r="Q504" s="491"/>
      <c r="R504" s="213"/>
      <c r="S504" s="215"/>
      <c r="T504" s="216"/>
      <c r="U504" s="214"/>
      <c r="V504" s="491"/>
      <c r="W504" s="491"/>
      <c r="X504" s="491"/>
      <c r="Y504" s="491"/>
      <c r="Z504" s="491"/>
      <c r="AA504" s="491"/>
      <c r="AB504" s="491"/>
      <c r="AC504" s="491"/>
      <c r="AD504" s="491"/>
      <c r="AE504" s="491"/>
      <c r="AF504" s="491"/>
      <c r="AG504" s="491"/>
      <c r="AH504" s="193"/>
    </row>
    <row r="505" spans="1:34" x14ac:dyDescent="0.25">
      <c r="A505" s="193"/>
      <c r="B505" s="491"/>
      <c r="C505" s="491"/>
      <c r="D505" s="491"/>
      <c r="E505" s="491"/>
      <c r="F505" s="495"/>
      <c r="G505" s="230"/>
      <c r="H505" s="491"/>
      <c r="I505" s="491"/>
      <c r="J505" s="491"/>
      <c r="K505" s="491"/>
      <c r="L505" s="491"/>
      <c r="M505" s="491"/>
      <c r="N505" s="491"/>
      <c r="O505" s="491"/>
      <c r="P505" s="491"/>
      <c r="Q505" s="491"/>
      <c r="R505" s="225">
        <f>K503/12</f>
        <v>0.5</v>
      </c>
      <c r="S505" s="218"/>
      <c r="T505" s="218"/>
      <c r="U505" s="219"/>
      <c r="V505" s="491"/>
      <c r="W505" s="491"/>
      <c r="X505" s="491"/>
      <c r="Y505" s="491"/>
      <c r="Z505" s="491"/>
      <c r="AA505" s="491"/>
      <c r="AB505" s="491"/>
      <c r="AC505" s="491"/>
      <c r="AD505" s="491"/>
      <c r="AE505" s="491"/>
      <c r="AF505" s="491"/>
      <c r="AG505" s="491"/>
      <c r="AH505" s="193"/>
    </row>
    <row r="506" spans="1:34" ht="15.75" thickBot="1" x14ac:dyDescent="0.3">
      <c r="A506" s="193"/>
      <c r="B506" s="491"/>
      <c r="C506" s="491"/>
      <c r="D506" s="491"/>
      <c r="E506" s="491"/>
      <c r="F506" s="495"/>
      <c r="G506" s="230"/>
      <c r="H506" s="491"/>
      <c r="I506" s="491"/>
      <c r="J506" s="491"/>
      <c r="K506" s="491"/>
      <c r="L506" s="491"/>
      <c r="M506" s="491"/>
      <c r="N506" s="491"/>
      <c r="O506" s="491"/>
      <c r="P506" s="491"/>
      <c r="Q506" s="491"/>
      <c r="R506" s="226"/>
      <c r="S506" s="220"/>
      <c r="T506" s="220"/>
      <c r="U506" s="214"/>
      <c r="V506" s="491"/>
      <c r="W506" s="491"/>
      <c r="X506" s="491"/>
      <c r="Y506" s="491"/>
      <c r="Z506" s="491"/>
      <c r="AA506" s="491"/>
      <c r="AB506" s="491"/>
      <c r="AC506" s="491"/>
      <c r="AD506" s="491"/>
      <c r="AE506" s="491"/>
      <c r="AF506" s="491"/>
      <c r="AG506" s="491"/>
      <c r="AH506" s="193"/>
    </row>
    <row r="507" spans="1:34" x14ac:dyDescent="0.25">
      <c r="A507" s="193"/>
      <c r="B507" s="492"/>
      <c r="C507" s="492"/>
      <c r="D507" s="491"/>
      <c r="E507" s="491"/>
      <c r="F507" s="496"/>
      <c r="G507" s="231"/>
      <c r="H507" s="492"/>
      <c r="I507" s="492"/>
      <c r="J507" s="492"/>
      <c r="K507" s="492"/>
      <c r="L507" s="492"/>
      <c r="M507" s="492"/>
      <c r="N507" s="492"/>
      <c r="O507" s="492"/>
      <c r="P507" s="492"/>
      <c r="Q507" s="492"/>
      <c r="R507" s="221"/>
      <c r="S507" s="493">
        <f>+SUM(L503:M507)/12</f>
        <v>14.833333333333334</v>
      </c>
      <c r="T507" s="493"/>
      <c r="U507" s="222"/>
      <c r="V507" s="492"/>
      <c r="W507" s="492"/>
      <c r="X507" s="492"/>
      <c r="Y507" s="492"/>
      <c r="Z507" s="492"/>
      <c r="AA507" s="492"/>
      <c r="AB507" s="492"/>
      <c r="AC507" s="492"/>
      <c r="AD507" s="492"/>
      <c r="AE507" s="492"/>
      <c r="AF507" s="492"/>
      <c r="AG507" s="492"/>
      <c r="AH507" s="193"/>
    </row>
    <row r="508" spans="1:34" x14ac:dyDescent="0.25">
      <c r="A508" s="193"/>
      <c r="B508" s="490"/>
      <c r="C508" s="490" t="s">
        <v>286</v>
      </c>
      <c r="D508" s="490">
        <v>5</v>
      </c>
      <c r="E508" s="490">
        <v>0.625</v>
      </c>
      <c r="F508" s="494">
        <v>16</v>
      </c>
      <c r="G508" s="229"/>
      <c r="H508" s="490"/>
      <c r="I508" s="490">
        <f>ROUNDUP(M503/F508,0)</f>
        <v>9</v>
      </c>
      <c r="J508" s="490">
        <v>1</v>
      </c>
      <c r="K508" s="490"/>
      <c r="L508" s="490">
        <f>G491-2-2</f>
        <v>236</v>
      </c>
      <c r="M508" s="490"/>
      <c r="N508" s="490"/>
      <c r="O508" s="490"/>
      <c r="P508" s="490"/>
      <c r="Q508" s="490"/>
      <c r="R508" s="213"/>
      <c r="S508" s="498"/>
      <c r="T508" s="498"/>
      <c r="U508" s="214"/>
      <c r="V508" s="490">
        <f>SUM(R508:U512)</f>
        <v>19.666666666666668</v>
      </c>
      <c r="W508" s="490">
        <f>+SUM(K508:Q512)</f>
        <v>236</v>
      </c>
      <c r="X508" s="490">
        <f>(+I508*J508*W508)/12</f>
        <v>177</v>
      </c>
      <c r="Y508" s="490">
        <f t="shared" ref="Y508:AF508" si="91">IF(Y$4=$D508,$X508*Y$5,0)</f>
        <v>0</v>
      </c>
      <c r="Z508" s="490">
        <f t="shared" si="91"/>
        <v>0</v>
      </c>
      <c r="AA508" s="490">
        <f t="shared" si="91"/>
        <v>184.61099999999999</v>
      </c>
      <c r="AB508" s="490">
        <f t="shared" si="91"/>
        <v>0</v>
      </c>
      <c r="AC508" s="490">
        <f t="shared" si="91"/>
        <v>0</v>
      </c>
      <c r="AD508" s="490">
        <f t="shared" si="91"/>
        <v>0</v>
      </c>
      <c r="AE508" s="490">
        <f t="shared" si="91"/>
        <v>0</v>
      </c>
      <c r="AF508" s="490">
        <f t="shared" si="91"/>
        <v>0</v>
      </c>
      <c r="AG508" s="490"/>
      <c r="AH508" s="193"/>
    </row>
    <row r="509" spans="1:34" x14ac:dyDescent="0.25">
      <c r="A509" s="193"/>
      <c r="B509" s="491"/>
      <c r="C509" s="491"/>
      <c r="D509" s="491"/>
      <c r="E509" s="491"/>
      <c r="F509" s="495"/>
      <c r="G509" s="230"/>
      <c r="H509" s="491"/>
      <c r="I509" s="491"/>
      <c r="J509" s="491"/>
      <c r="K509" s="491"/>
      <c r="L509" s="491"/>
      <c r="M509" s="491"/>
      <c r="N509" s="491"/>
      <c r="O509" s="491"/>
      <c r="P509" s="491"/>
      <c r="Q509" s="491"/>
      <c r="R509" s="213"/>
      <c r="S509" s="215"/>
      <c r="T509" s="216"/>
      <c r="U509" s="214"/>
      <c r="V509" s="491"/>
      <c r="W509" s="491"/>
      <c r="X509" s="491"/>
      <c r="Y509" s="491"/>
      <c r="Z509" s="491"/>
      <c r="AA509" s="491"/>
      <c r="AB509" s="491"/>
      <c r="AC509" s="491"/>
      <c r="AD509" s="491"/>
      <c r="AE509" s="491"/>
      <c r="AF509" s="491"/>
      <c r="AG509" s="491"/>
      <c r="AH509" s="193"/>
    </row>
    <row r="510" spans="1:34" x14ac:dyDescent="0.25">
      <c r="A510" s="193"/>
      <c r="B510" s="491"/>
      <c r="C510" s="491"/>
      <c r="D510" s="491"/>
      <c r="E510" s="491"/>
      <c r="F510" s="495"/>
      <c r="G510" s="230"/>
      <c r="H510" s="491"/>
      <c r="I510" s="491"/>
      <c r="J510" s="491"/>
      <c r="K510" s="491"/>
      <c r="L510" s="491"/>
      <c r="M510" s="491"/>
      <c r="N510" s="491"/>
      <c r="O510" s="491"/>
      <c r="P510" s="491"/>
      <c r="Q510" s="497"/>
      <c r="R510" s="217"/>
      <c r="S510" s="218"/>
      <c r="T510" s="218"/>
      <c r="U510" s="219"/>
      <c r="V510" s="491"/>
      <c r="W510" s="491"/>
      <c r="X510" s="491"/>
      <c r="Y510" s="491"/>
      <c r="Z510" s="491"/>
      <c r="AA510" s="491"/>
      <c r="AB510" s="491"/>
      <c r="AC510" s="491"/>
      <c r="AD510" s="491"/>
      <c r="AE510" s="491"/>
      <c r="AF510" s="491"/>
      <c r="AG510" s="491"/>
      <c r="AH510" s="193"/>
    </row>
    <row r="511" spans="1:34" ht="15.75" thickBot="1" x14ac:dyDescent="0.3">
      <c r="A511" s="193"/>
      <c r="B511" s="491"/>
      <c r="C511" s="491"/>
      <c r="D511" s="491"/>
      <c r="E511" s="491"/>
      <c r="F511" s="495"/>
      <c r="G511" s="230"/>
      <c r="H511" s="491"/>
      <c r="I511" s="491"/>
      <c r="J511" s="491"/>
      <c r="K511" s="491"/>
      <c r="L511" s="491"/>
      <c r="M511" s="491"/>
      <c r="N511" s="491"/>
      <c r="O511" s="491"/>
      <c r="P511" s="491"/>
      <c r="Q511" s="497"/>
      <c r="R511" s="213"/>
      <c r="S511" s="220"/>
      <c r="T511" s="220"/>
      <c r="U511" s="214"/>
      <c r="V511" s="491"/>
      <c r="W511" s="491"/>
      <c r="X511" s="491"/>
      <c r="Y511" s="491"/>
      <c r="Z511" s="491"/>
      <c r="AA511" s="491"/>
      <c r="AB511" s="491"/>
      <c r="AC511" s="491"/>
      <c r="AD511" s="491"/>
      <c r="AE511" s="491"/>
      <c r="AF511" s="491"/>
      <c r="AG511" s="491"/>
      <c r="AH511" s="193"/>
    </row>
    <row r="512" spans="1:34" x14ac:dyDescent="0.25">
      <c r="A512" s="193"/>
      <c r="B512" s="492"/>
      <c r="C512" s="492"/>
      <c r="D512" s="491"/>
      <c r="E512" s="491"/>
      <c r="F512" s="496"/>
      <c r="G512" s="231"/>
      <c r="H512" s="492"/>
      <c r="I512" s="492"/>
      <c r="J512" s="492"/>
      <c r="K512" s="492"/>
      <c r="L512" s="492"/>
      <c r="M512" s="492"/>
      <c r="N512" s="492"/>
      <c r="O512" s="492"/>
      <c r="P512" s="492"/>
      <c r="Q512" s="492"/>
      <c r="R512" s="221"/>
      <c r="S512" s="493">
        <f>L508/12</f>
        <v>19.666666666666668</v>
      </c>
      <c r="T512" s="493"/>
      <c r="U512" s="222"/>
      <c r="V512" s="492"/>
      <c r="W512" s="492"/>
      <c r="X512" s="492"/>
      <c r="Y512" s="492"/>
      <c r="Z512" s="492"/>
      <c r="AA512" s="492"/>
      <c r="AB512" s="492"/>
      <c r="AC512" s="492"/>
      <c r="AD512" s="492"/>
      <c r="AE512" s="492"/>
      <c r="AF512" s="492"/>
      <c r="AG512" s="492"/>
      <c r="AH512" s="193"/>
    </row>
    <row r="513" spans="1:34" ht="15.75" thickBot="1" x14ac:dyDescent="0.3">
      <c r="A513" s="195"/>
      <c r="B513" s="200" t="s">
        <v>308</v>
      </c>
      <c r="C513" s="199" t="s">
        <v>284</v>
      </c>
      <c r="D513" s="197">
        <v>60</v>
      </c>
      <c r="E513" s="201">
        <v>8</v>
      </c>
      <c r="F513" s="202"/>
      <c r="G513" s="202">
        <f>22*12</f>
        <v>264</v>
      </c>
      <c r="H513" s="202">
        <v>16</v>
      </c>
      <c r="I513" s="202">
        <v>12</v>
      </c>
      <c r="J513" s="202">
        <v>12</v>
      </c>
      <c r="K513" s="199"/>
      <c r="L513" s="199"/>
      <c r="M513" s="199"/>
      <c r="N513" s="199"/>
      <c r="O513" s="199"/>
      <c r="P513" s="199"/>
      <c r="Q513" s="198"/>
      <c r="R513" s="196"/>
      <c r="S513" s="196"/>
      <c r="T513" s="196"/>
      <c r="U513" s="196"/>
      <c r="V513" s="203"/>
      <c r="W513" s="202"/>
      <c r="X513" s="202"/>
      <c r="Y513" s="199"/>
      <c r="Z513" s="199"/>
      <c r="AA513" s="199"/>
      <c r="AB513" s="199"/>
      <c r="AC513" s="199"/>
      <c r="AD513" s="199"/>
      <c r="AE513" s="199"/>
      <c r="AF513" s="199"/>
      <c r="AG513" s="199"/>
      <c r="AH513" s="195"/>
    </row>
    <row r="514" spans="1:34" ht="15.75" thickBot="1" x14ac:dyDescent="0.3">
      <c r="A514" s="193"/>
      <c r="B514" s="204"/>
      <c r="C514" s="205"/>
      <c r="D514" s="194"/>
      <c r="E514" s="206"/>
      <c r="F514" s="205"/>
      <c r="G514" s="205"/>
      <c r="H514" s="207">
        <v>3</v>
      </c>
      <c r="I514" s="207">
        <v>2</v>
      </c>
      <c r="J514" s="205"/>
      <c r="K514" s="205"/>
      <c r="L514" s="205"/>
      <c r="M514" s="205"/>
      <c r="N514" s="205"/>
      <c r="O514" s="205"/>
      <c r="P514" s="205"/>
      <c r="Q514" s="208"/>
      <c r="R514" s="209"/>
      <c r="S514" s="210"/>
      <c r="T514" s="210"/>
      <c r="U514" s="211"/>
      <c r="V514" s="212"/>
      <c r="W514" s="204"/>
      <c r="X514" s="204"/>
      <c r="Y514" s="205"/>
      <c r="Z514" s="205"/>
      <c r="AA514" s="205"/>
      <c r="AB514" s="205"/>
      <c r="AC514" s="205"/>
      <c r="AD514" s="205"/>
      <c r="AE514" s="205"/>
      <c r="AF514" s="205"/>
      <c r="AG514" s="205"/>
      <c r="AH514" s="193"/>
    </row>
    <row r="515" spans="1:34" x14ac:dyDescent="0.25">
      <c r="A515" s="193"/>
      <c r="B515" s="490"/>
      <c r="C515" s="499" t="s">
        <v>265</v>
      </c>
      <c r="D515" s="490">
        <v>5</v>
      </c>
      <c r="E515" s="490">
        <v>0.625</v>
      </c>
      <c r="F515" s="490"/>
      <c r="G515" s="490">
        <f>G513</f>
        <v>264</v>
      </c>
      <c r="H515" s="490"/>
      <c r="I515" s="490">
        <v>2</v>
      </c>
      <c r="J515" s="490">
        <v>1</v>
      </c>
      <c r="K515" s="490"/>
      <c r="L515" s="490">
        <f>G513-2-2</f>
        <v>260</v>
      </c>
      <c r="M515" s="490"/>
      <c r="N515" s="490"/>
      <c r="O515" s="490"/>
      <c r="P515" s="490"/>
      <c r="Q515" s="490"/>
      <c r="R515" s="213"/>
      <c r="S515" s="502"/>
      <c r="T515" s="502"/>
      <c r="U515" s="214"/>
      <c r="V515" s="490">
        <f>SUM(R515:U519)</f>
        <v>21.666666666666668</v>
      </c>
      <c r="W515" s="490">
        <f>+SUM(K515:Q519)</f>
        <v>260</v>
      </c>
      <c r="X515" s="490">
        <f>(+I515*J515*W515)/12</f>
        <v>43.333333333333336</v>
      </c>
      <c r="Y515" s="490">
        <f>IF(Y$4=$D515,$X515*Y$5,0)</f>
        <v>0</v>
      </c>
      <c r="Z515" s="490">
        <f t="shared" ref="Z515:AF515" si="92">IF(Z$4=$D515,$X515*Z$5,0)</f>
        <v>0</v>
      </c>
      <c r="AA515" s="490">
        <f t="shared" si="92"/>
        <v>45.196666666666665</v>
      </c>
      <c r="AB515" s="490">
        <f t="shared" si="92"/>
        <v>0</v>
      </c>
      <c r="AC515" s="490">
        <f t="shared" si="92"/>
        <v>0</v>
      </c>
      <c r="AD515" s="490">
        <f t="shared" si="92"/>
        <v>0</v>
      </c>
      <c r="AE515" s="490">
        <f t="shared" si="92"/>
        <v>0</v>
      </c>
      <c r="AF515" s="490">
        <f t="shared" si="92"/>
        <v>0</v>
      </c>
      <c r="AG515" s="490"/>
      <c r="AH515" s="193"/>
    </row>
    <row r="516" spans="1:34" x14ac:dyDescent="0.25">
      <c r="A516" s="193"/>
      <c r="B516" s="491"/>
      <c r="C516" s="500"/>
      <c r="D516" s="491"/>
      <c r="E516" s="491"/>
      <c r="F516" s="491"/>
      <c r="G516" s="491"/>
      <c r="H516" s="491"/>
      <c r="I516" s="491"/>
      <c r="J516" s="491"/>
      <c r="K516" s="491"/>
      <c r="L516" s="491"/>
      <c r="M516" s="491"/>
      <c r="N516" s="491"/>
      <c r="O516" s="491"/>
      <c r="P516" s="491"/>
      <c r="Q516" s="491"/>
      <c r="R516" s="213"/>
      <c r="S516" s="215"/>
      <c r="T516" s="216"/>
      <c r="U516" s="214"/>
      <c r="V516" s="491"/>
      <c r="W516" s="491"/>
      <c r="X516" s="491"/>
      <c r="Y516" s="491"/>
      <c r="Z516" s="491"/>
      <c r="AA516" s="491"/>
      <c r="AB516" s="491"/>
      <c r="AC516" s="491"/>
      <c r="AD516" s="491"/>
      <c r="AE516" s="491"/>
      <c r="AF516" s="491"/>
      <c r="AG516" s="491"/>
      <c r="AH516" s="193"/>
    </row>
    <row r="517" spans="1:34" x14ac:dyDescent="0.25">
      <c r="A517" s="193"/>
      <c r="B517" s="491"/>
      <c r="C517" s="500"/>
      <c r="D517" s="491"/>
      <c r="E517" s="491"/>
      <c r="F517" s="491"/>
      <c r="G517" s="491"/>
      <c r="H517" s="491"/>
      <c r="I517" s="491"/>
      <c r="J517" s="491"/>
      <c r="K517" s="491"/>
      <c r="L517" s="491"/>
      <c r="M517" s="491"/>
      <c r="N517" s="491"/>
      <c r="O517" s="491"/>
      <c r="P517" s="491"/>
      <c r="Q517" s="491"/>
      <c r="R517" s="217"/>
      <c r="S517" s="218"/>
      <c r="T517" s="218"/>
      <c r="U517" s="219"/>
      <c r="V517" s="491"/>
      <c r="W517" s="491"/>
      <c r="X517" s="491"/>
      <c r="Y517" s="491"/>
      <c r="Z517" s="491"/>
      <c r="AA517" s="491"/>
      <c r="AB517" s="491"/>
      <c r="AC517" s="491"/>
      <c r="AD517" s="491"/>
      <c r="AE517" s="491"/>
      <c r="AF517" s="491"/>
      <c r="AG517" s="491"/>
      <c r="AH517" s="193"/>
    </row>
    <row r="518" spans="1:34" ht="15.75" thickBot="1" x14ac:dyDescent="0.3">
      <c r="A518" s="193"/>
      <c r="B518" s="491"/>
      <c r="C518" s="500"/>
      <c r="D518" s="491"/>
      <c r="E518" s="491"/>
      <c r="F518" s="491"/>
      <c r="G518" s="491"/>
      <c r="H518" s="491"/>
      <c r="I518" s="491"/>
      <c r="J518" s="491"/>
      <c r="K518" s="491"/>
      <c r="L518" s="491"/>
      <c r="M518" s="491"/>
      <c r="N518" s="491"/>
      <c r="O518" s="491"/>
      <c r="P518" s="491"/>
      <c r="Q518" s="491"/>
      <c r="R518" s="213"/>
      <c r="S518" s="220"/>
      <c r="T518" s="220"/>
      <c r="U518" s="214"/>
      <c r="V518" s="491"/>
      <c r="W518" s="491"/>
      <c r="X518" s="491"/>
      <c r="Y518" s="491"/>
      <c r="Z518" s="491"/>
      <c r="AA518" s="491"/>
      <c r="AB518" s="491"/>
      <c r="AC518" s="491"/>
      <c r="AD518" s="491"/>
      <c r="AE518" s="491"/>
      <c r="AF518" s="491"/>
      <c r="AG518" s="491"/>
      <c r="AH518" s="193"/>
    </row>
    <row r="519" spans="1:34" x14ac:dyDescent="0.25">
      <c r="A519" s="193"/>
      <c r="B519" s="492"/>
      <c r="C519" s="501"/>
      <c r="D519" s="492"/>
      <c r="E519" s="492"/>
      <c r="F519" s="492"/>
      <c r="G519" s="492"/>
      <c r="H519" s="492"/>
      <c r="I519" s="492"/>
      <c r="J519" s="492"/>
      <c r="K519" s="492"/>
      <c r="L519" s="492"/>
      <c r="M519" s="492"/>
      <c r="N519" s="492"/>
      <c r="O519" s="492"/>
      <c r="P519" s="492"/>
      <c r="Q519" s="492"/>
      <c r="R519" s="221"/>
      <c r="S519" s="493">
        <f>L515/12</f>
        <v>21.666666666666668</v>
      </c>
      <c r="T519" s="493"/>
      <c r="U519" s="222"/>
      <c r="V519" s="492"/>
      <c r="W519" s="492"/>
      <c r="X519" s="492"/>
      <c r="Y519" s="492"/>
      <c r="Z519" s="492"/>
      <c r="AA519" s="492"/>
      <c r="AB519" s="492"/>
      <c r="AC519" s="492"/>
      <c r="AD519" s="492"/>
      <c r="AE519" s="492"/>
      <c r="AF519" s="492"/>
      <c r="AG519" s="492"/>
      <c r="AH519" s="193"/>
    </row>
    <row r="520" spans="1:34" x14ac:dyDescent="0.25">
      <c r="A520" s="193"/>
      <c r="B520" s="490"/>
      <c r="C520" s="499" t="s">
        <v>271</v>
      </c>
      <c r="D520" s="490">
        <v>5</v>
      </c>
      <c r="E520" s="490">
        <v>0.625</v>
      </c>
      <c r="F520" s="490"/>
      <c r="G520" s="490"/>
      <c r="H520" s="490"/>
      <c r="I520" s="490">
        <v>2</v>
      </c>
      <c r="J520" s="490">
        <v>2</v>
      </c>
      <c r="K520" s="490">
        <v>30</v>
      </c>
      <c r="L520" s="490">
        <v>30</v>
      </c>
      <c r="M520" s="490"/>
      <c r="N520" s="490"/>
      <c r="O520" s="490"/>
      <c r="P520" s="490"/>
      <c r="Q520" s="490"/>
      <c r="R520" s="213"/>
      <c r="S520" s="498"/>
      <c r="T520" s="498"/>
      <c r="U520" s="214"/>
      <c r="V520" s="490">
        <f>SUM(R520:U524)</f>
        <v>5</v>
      </c>
      <c r="W520" s="490">
        <f>+SUM(K520:Q524)</f>
        <v>60</v>
      </c>
      <c r="X520" s="490">
        <f>(+I520*J520*W520)/12</f>
        <v>20</v>
      </c>
      <c r="Y520" s="490">
        <f t="shared" ref="Y520:AF520" si="93">IF(Y$4=$D520,$X520*Y$5,0)</f>
        <v>0</v>
      </c>
      <c r="Z520" s="490">
        <f t="shared" si="93"/>
        <v>0</v>
      </c>
      <c r="AA520" s="490">
        <f t="shared" si="93"/>
        <v>20.86</v>
      </c>
      <c r="AB520" s="490">
        <f t="shared" si="93"/>
        <v>0</v>
      </c>
      <c r="AC520" s="490">
        <f t="shared" si="93"/>
        <v>0</v>
      </c>
      <c r="AD520" s="490">
        <f t="shared" si="93"/>
        <v>0</v>
      </c>
      <c r="AE520" s="490">
        <f t="shared" si="93"/>
        <v>0</v>
      </c>
      <c r="AF520" s="490">
        <f t="shared" si="93"/>
        <v>0</v>
      </c>
      <c r="AG520" s="490"/>
      <c r="AH520" s="193"/>
    </row>
    <row r="521" spans="1:34" x14ac:dyDescent="0.25">
      <c r="A521" s="193"/>
      <c r="B521" s="491"/>
      <c r="C521" s="500"/>
      <c r="D521" s="491"/>
      <c r="E521" s="491"/>
      <c r="F521" s="491"/>
      <c r="G521" s="491"/>
      <c r="H521" s="491"/>
      <c r="I521" s="491"/>
      <c r="J521" s="491"/>
      <c r="K521" s="491"/>
      <c r="L521" s="491"/>
      <c r="M521" s="491"/>
      <c r="N521" s="491"/>
      <c r="O521" s="491"/>
      <c r="P521" s="491"/>
      <c r="Q521" s="491"/>
      <c r="R521" s="213"/>
      <c r="S521" s="215"/>
      <c r="T521" s="216"/>
      <c r="U521" s="214"/>
      <c r="V521" s="491"/>
      <c r="W521" s="491"/>
      <c r="X521" s="491"/>
      <c r="Y521" s="491"/>
      <c r="Z521" s="491"/>
      <c r="AA521" s="491"/>
      <c r="AB521" s="491"/>
      <c r="AC521" s="491"/>
      <c r="AD521" s="491"/>
      <c r="AE521" s="491"/>
      <c r="AF521" s="491"/>
      <c r="AG521" s="491"/>
      <c r="AH521" s="193"/>
    </row>
    <row r="522" spans="1:34" x14ac:dyDescent="0.25">
      <c r="A522" s="193"/>
      <c r="B522" s="491"/>
      <c r="C522" s="500"/>
      <c r="D522" s="491"/>
      <c r="E522" s="491"/>
      <c r="F522" s="491"/>
      <c r="G522" s="491"/>
      <c r="H522" s="491"/>
      <c r="I522" s="491"/>
      <c r="J522" s="491"/>
      <c r="K522" s="491"/>
      <c r="L522" s="491"/>
      <c r="M522" s="491"/>
      <c r="N522" s="491"/>
      <c r="O522" s="491"/>
      <c r="P522" s="491"/>
      <c r="Q522" s="491"/>
      <c r="R522" s="217">
        <f>K520/12</f>
        <v>2.5</v>
      </c>
      <c r="S522" s="223"/>
      <c r="T522" s="195"/>
      <c r="U522" s="219"/>
      <c r="V522" s="491"/>
      <c r="W522" s="491"/>
      <c r="X522" s="491"/>
      <c r="Y522" s="491"/>
      <c r="Z522" s="491"/>
      <c r="AA522" s="491"/>
      <c r="AB522" s="491"/>
      <c r="AC522" s="491"/>
      <c r="AD522" s="491"/>
      <c r="AE522" s="491"/>
      <c r="AF522" s="491"/>
      <c r="AG522" s="491"/>
      <c r="AH522" s="193"/>
    </row>
    <row r="523" spans="1:34" ht="15.75" thickBot="1" x14ac:dyDescent="0.3">
      <c r="A523" s="193"/>
      <c r="B523" s="491"/>
      <c r="C523" s="500"/>
      <c r="D523" s="491"/>
      <c r="E523" s="491"/>
      <c r="F523" s="491"/>
      <c r="G523" s="491"/>
      <c r="H523" s="491"/>
      <c r="I523" s="491"/>
      <c r="J523" s="491"/>
      <c r="K523" s="491"/>
      <c r="L523" s="491"/>
      <c r="M523" s="491"/>
      <c r="N523" s="491"/>
      <c r="O523" s="491"/>
      <c r="P523" s="491"/>
      <c r="Q523" s="491"/>
      <c r="R523" s="213"/>
      <c r="S523" s="224"/>
      <c r="T523" s="220"/>
      <c r="U523" s="214"/>
      <c r="V523" s="491"/>
      <c r="W523" s="491"/>
      <c r="X523" s="491"/>
      <c r="Y523" s="491"/>
      <c r="Z523" s="491"/>
      <c r="AA523" s="491"/>
      <c r="AB523" s="491"/>
      <c r="AC523" s="491"/>
      <c r="AD523" s="491"/>
      <c r="AE523" s="491"/>
      <c r="AF523" s="491"/>
      <c r="AG523" s="491"/>
      <c r="AH523" s="193"/>
    </row>
    <row r="524" spans="1:34" x14ac:dyDescent="0.25">
      <c r="A524" s="193"/>
      <c r="B524" s="492"/>
      <c r="C524" s="501"/>
      <c r="D524" s="492"/>
      <c r="E524" s="492"/>
      <c r="F524" s="492"/>
      <c r="G524" s="492"/>
      <c r="H524" s="492"/>
      <c r="I524" s="492"/>
      <c r="J524" s="492"/>
      <c r="K524" s="492"/>
      <c r="L524" s="492"/>
      <c r="M524" s="492"/>
      <c r="N524" s="492"/>
      <c r="O524" s="492"/>
      <c r="P524" s="492"/>
      <c r="Q524" s="492"/>
      <c r="R524" s="221"/>
      <c r="S524" s="493">
        <f>L520/12</f>
        <v>2.5</v>
      </c>
      <c r="T524" s="493"/>
      <c r="U524" s="222"/>
      <c r="V524" s="492"/>
      <c r="W524" s="492"/>
      <c r="X524" s="492"/>
      <c r="Y524" s="492"/>
      <c r="Z524" s="492"/>
      <c r="AA524" s="492"/>
      <c r="AB524" s="492"/>
      <c r="AC524" s="492"/>
      <c r="AD524" s="492"/>
      <c r="AE524" s="492"/>
      <c r="AF524" s="492"/>
      <c r="AG524" s="492"/>
      <c r="AH524" s="193"/>
    </row>
    <row r="525" spans="1:34" x14ac:dyDescent="0.25">
      <c r="A525" s="193"/>
      <c r="B525" s="490"/>
      <c r="C525" s="490" t="s">
        <v>277</v>
      </c>
      <c r="D525" s="490">
        <v>5</v>
      </c>
      <c r="E525" s="490">
        <v>0.625</v>
      </c>
      <c r="F525" s="494">
        <v>16</v>
      </c>
      <c r="G525" s="229"/>
      <c r="H525" s="490"/>
      <c r="I525" s="490">
        <f>ROUNDUP(G515/F525,0)</f>
        <v>17</v>
      </c>
      <c r="J525" s="490">
        <v>1</v>
      </c>
      <c r="K525" s="490">
        <v>6</v>
      </c>
      <c r="L525" s="490">
        <f>4*12-2</f>
        <v>46</v>
      </c>
      <c r="M525" s="490">
        <f>11*12</f>
        <v>132</v>
      </c>
      <c r="N525" s="490"/>
      <c r="O525" s="490"/>
      <c r="P525" s="490"/>
      <c r="Q525" s="490"/>
      <c r="R525" s="213"/>
      <c r="S525" s="498"/>
      <c r="T525" s="498"/>
      <c r="U525" s="214"/>
      <c r="V525" s="490">
        <f>SUM(R525:U529)</f>
        <v>15.333333333333334</v>
      </c>
      <c r="W525" s="490">
        <f>+SUM(K525:Q529)</f>
        <v>184</v>
      </c>
      <c r="X525" s="490">
        <f>(+I525*J525*W525)/12</f>
        <v>260.66666666666669</v>
      </c>
      <c r="Y525" s="490">
        <f t="shared" ref="Y525:AF525" si="94">IF(Y$4=$D525,$X525*Y$5,0)</f>
        <v>0</v>
      </c>
      <c r="Z525" s="490">
        <f t="shared" si="94"/>
        <v>0</v>
      </c>
      <c r="AA525" s="490">
        <f t="shared" si="94"/>
        <v>271.87533333333334</v>
      </c>
      <c r="AB525" s="490">
        <f t="shared" si="94"/>
        <v>0</v>
      </c>
      <c r="AC525" s="490">
        <f t="shared" si="94"/>
        <v>0</v>
      </c>
      <c r="AD525" s="490">
        <f t="shared" si="94"/>
        <v>0</v>
      </c>
      <c r="AE525" s="490">
        <f t="shared" si="94"/>
        <v>0</v>
      </c>
      <c r="AF525" s="490">
        <f t="shared" si="94"/>
        <v>0</v>
      </c>
      <c r="AG525" s="490"/>
      <c r="AH525" s="193"/>
    </row>
    <row r="526" spans="1:34" x14ac:dyDescent="0.25">
      <c r="A526" s="193"/>
      <c r="B526" s="491"/>
      <c r="C526" s="491"/>
      <c r="D526" s="491"/>
      <c r="E526" s="491"/>
      <c r="F526" s="495"/>
      <c r="G526" s="230"/>
      <c r="H526" s="491"/>
      <c r="I526" s="491"/>
      <c r="J526" s="491"/>
      <c r="K526" s="491"/>
      <c r="L526" s="491"/>
      <c r="M526" s="491"/>
      <c r="N526" s="491"/>
      <c r="O526" s="491"/>
      <c r="P526" s="491"/>
      <c r="Q526" s="491"/>
      <c r="R526" s="213"/>
      <c r="S526" s="215"/>
      <c r="T526" s="216"/>
      <c r="U526" s="214"/>
      <c r="V526" s="491"/>
      <c r="W526" s="491"/>
      <c r="X526" s="491"/>
      <c r="Y526" s="491"/>
      <c r="Z526" s="491"/>
      <c r="AA526" s="491"/>
      <c r="AB526" s="491"/>
      <c r="AC526" s="491"/>
      <c r="AD526" s="491"/>
      <c r="AE526" s="491"/>
      <c r="AF526" s="491"/>
      <c r="AG526" s="491"/>
      <c r="AH526" s="193"/>
    </row>
    <row r="527" spans="1:34" x14ac:dyDescent="0.25">
      <c r="A527" s="193"/>
      <c r="B527" s="491"/>
      <c r="C527" s="491"/>
      <c r="D527" s="491"/>
      <c r="E527" s="491"/>
      <c r="F527" s="495"/>
      <c r="G527" s="230"/>
      <c r="H527" s="491"/>
      <c r="I527" s="491"/>
      <c r="J527" s="491"/>
      <c r="K527" s="491"/>
      <c r="L527" s="491"/>
      <c r="M527" s="491"/>
      <c r="N527" s="491"/>
      <c r="O527" s="491"/>
      <c r="P527" s="491"/>
      <c r="Q527" s="491"/>
      <c r="R527" s="225">
        <f>K525/12</f>
        <v>0.5</v>
      </c>
      <c r="S527" s="218"/>
      <c r="T527" s="218"/>
      <c r="U527" s="219"/>
      <c r="V527" s="491"/>
      <c r="W527" s="491"/>
      <c r="X527" s="491"/>
      <c r="Y527" s="491"/>
      <c r="Z527" s="491"/>
      <c r="AA527" s="491"/>
      <c r="AB527" s="491"/>
      <c r="AC527" s="491"/>
      <c r="AD527" s="491"/>
      <c r="AE527" s="491"/>
      <c r="AF527" s="491"/>
      <c r="AG527" s="491"/>
      <c r="AH527" s="193"/>
    </row>
    <row r="528" spans="1:34" ht="15.75" thickBot="1" x14ac:dyDescent="0.3">
      <c r="A528" s="193"/>
      <c r="B528" s="491"/>
      <c r="C528" s="491"/>
      <c r="D528" s="491"/>
      <c r="E528" s="491"/>
      <c r="F528" s="495"/>
      <c r="G528" s="230"/>
      <c r="H528" s="491"/>
      <c r="I528" s="491"/>
      <c r="J528" s="491"/>
      <c r="K528" s="491"/>
      <c r="L528" s="491"/>
      <c r="M528" s="491"/>
      <c r="N528" s="491"/>
      <c r="O528" s="491"/>
      <c r="P528" s="491"/>
      <c r="Q528" s="491"/>
      <c r="R528" s="226"/>
      <c r="S528" s="220"/>
      <c r="T528" s="220"/>
      <c r="U528" s="214"/>
      <c r="V528" s="491"/>
      <c r="W528" s="491"/>
      <c r="X528" s="491"/>
      <c r="Y528" s="491"/>
      <c r="Z528" s="491"/>
      <c r="AA528" s="491"/>
      <c r="AB528" s="491"/>
      <c r="AC528" s="491"/>
      <c r="AD528" s="491"/>
      <c r="AE528" s="491"/>
      <c r="AF528" s="491"/>
      <c r="AG528" s="491"/>
      <c r="AH528" s="193"/>
    </row>
    <row r="529" spans="1:34" x14ac:dyDescent="0.25">
      <c r="A529" s="193"/>
      <c r="B529" s="492"/>
      <c r="C529" s="492"/>
      <c r="D529" s="491"/>
      <c r="E529" s="491"/>
      <c r="F529" s="496"/>
      <c r="G529" s="231"/>
      <c r="H529" s="492"/>
      <c r="I529" s="492"/>
      <c r="J529" s="492"/>
      <c r="K529" s="492"/>
      <c r="L529" s="492"/>
      <c r="M529" s="492"/>
      <c r="N529" s="492"/>
      <c r="O529" s="492"/>
      <c r="P529" s="492"/>
      <c r="Q529" s="492"/>
      <c r="R529" s="221"/>
      <c r="S529" s="493">
        <f>+SUM(L525:M529)/12</f>
        <v>14.833333333333334</v>
      </c>
      <c r="T529" s="493"/>
      <c r="U529" s="222"/>
      <c r="V529" s="492"/>
      <c r="W529" s="492"/>
      <c r="X529" s="492"/>
      <c r="Y529" s="492"/>
      <c r="Z529" s="492"/>
      <c r="AA529" s="492"/>
      <c r="AB529" s="492"/>
      <c r="AC529" s="492"/>
      <c r="AD529" s="492"/>
      <c r="AE529" s="492"/>
      <c r="AF529" s="492"/>
      <c r="AG529" s="492"/>
      <c r="AH529" s="193"/>
    </row>
    <row r="530" spans="1:34" x14ac:dyDescent="0.25">
      <c r="A530" s="193"/>
      <c r="B530" s="490"/>
      <c r="C530" s="490" t="s">
        <v>286</v>
      </c>
      <c r="D530" s="490">
        <v>5</v>
      </c>
      <c r="E530" s="490">
        <v>0.625</v>
      </c>
      <c r="F530" s="494">
        <v>16</v>
      </c>
      <c r="G530" s="229"/>
      <c r="H530" s="490"/>
      <c r="I530" s="490">
        <f>ROUNDUP(M525/F530,0)</f>
        <v>9</v>
      </c>
      <c r="J530" s="490">
        <v>1</v>
      </c>
      <c r="K530" s="490"/>
      <c r="L530" s="490">
        <f>G513-2-2</f>
        <v>260</v>
      </c>
      <c r="M530" s="490"/>
      <c r="N530" s="490"/>
      <c r="O530" s="490"/>
      <c r="P530" s="490"/>
      <c r="Q530" s="490"/>
      <c r="R530" s="213"/>
      <c r="S530" s="498"/>
      <c r="T530" s="498"/>
      <c r="U530" s="214"/>
      <c r="V530" s="490">
        <f>SUM(R530:U534)</f>
        <v>21.666666666666668</v>
      </c>
      <c r="W530" s="490">
        <f>+SUM(K530:Q534)</f>
        <v>260</v>
      </c>
      <c r="X530" s="490">
        <f>(+I530*J530*W530)/12</f>
        <v>195</v>
      </c>
      <c r="Y530" s="490">
        <f t="shared" ref="Y530:AF530" si="95">IF(Y$4=$D530,$X530*Y$5,0)</f>
        <v>0</v>
      </c>
      <c r="Z530" s="490">
        <f t="shared" si="95"/>
        <v>0</v>
      </c>
      <c r="AA530" s="490">
        <f t="shared" si="95"/>
        <v>203.38499999999999</v>
      </c>
      <c r="AB530" s="490">
        <f t="shared" si="95"/>
        <v>0</v>
      </c>
      <c r="AC530" s="490">
        <f t="shared" si="95"/>
        <v>0</v>
      </c>
      <c r="AD530" s="490">
        <f t="shared" si="95"/>
        <v>0</v>
      </c>
      <c r="AE530" s="490">
        <f t="shared" si="95"/>
        <v>0</v>
      </c>
      <c r="AF530" s="490">
        <f t="shared" si="95"/>
        <v>0</v>
      </c>
      <c r="AG530" s="490"/>
      <c r="AH530" s="193"/>
    </row>
    <row r="531" spans="1:34" x14ac:dyDescent="0.25">
      <c r="A531" s="193"/>
      <c r="B531" s="491"/>
      <c r="C531" s="491"/>
      <c r="D531" s="491"/>
      <c r="E531" s="491"/>
      <c r="F531" s="495"/>
      <c r="G531" s="230"/>
      <c r="H531" s="491"/>
      <c r="I531" s="491"/>
      <c r="J531" s="491"/>
      <c r="K531" s="491"/>
      <c r="L531" s="491"/>
      <c r="M531" s="491"/>
      <c r="N531" s="491"/>
      <c r="O531" s="491"/>
      <c r="P531" s="491"/>
      <c r="Q531" s="491"/>
      <c r="R531" s="213"/>
      <c r="S531" s="215"/>
      <c r="T531" s="216"/>
      <c r="U531" s="214"/>
      <c r="V531" s="491"/>
      <c r="W531" s="491"/>
      <c r="X531" s="491"/>
      <c r="Y531" s="491"/>
      <c r="Z531" s="491"/>
      <c r="AA531" s="491"/>
      <c r="AB531" s="491"/>
      <c r="AC531" s="491"/>
      <c r="AD531" s="491"/>
      <c r="AE531" s="491"/>
      <c r="AF531" s="491"/>
      <c r="AG531" s="491"/>
      <c r="AH531" s="193"/>
    </row>
    <row r="532" spans="1:34" x14ac:dyDescent="0.25">
      <c r="A532" s="193"/>
      <c r="B532" s="491"/>
      <c r="C532" s="491"/>
      <c r="D532" s="491"/>
      <c r="E532" s="491"/>
      <c r="F532" s="495"/>
      <c r="G532" s="230"/>
      <c r="H532" s="491"/>
      <c r="I532" s="491"/>
      <c r="J532" s="491"/>
      <c r="K532" s="491"/>
      <c r="L532" s="491"/>
      <c r="M532" s="491"/>
      <c r="N532" s="491"/>
      <c r="O532" s="491"/>
      <c r="P532" s="491"/>
      <c r="Q532" s="497"/>
      <c r="R532" s="217"/>
      <c r="S532" s="218"/>
      <c r="T532" s="218"/>
      <c r="U532" s="219"/>
      <c r="V532" s="491"/>
      <c r="W532" s="491"/>
      <c r="X532" s="491"/>
      <c r="Y532" s="491"/>
      <c r="Z532" s="491"/>
      <c r="AA532" s="491"/>
      <c r="AB532" s="491"/>
      <c r="AC532" s="491"/>
      <c r="AD532" s="491"/>
      <c r="AE532" s="491"/>
      <c r="AF532" s="491"/>
      <c r="AG532" s="491"/>
      <c r="AH532" s="193"/>
    </row>
    <row r="533" spans="1:34" ht="15.75" thickBot="1" x14ac:dyDescent="0.3">
      <c r="A533" s="193"/>
      <c r="B533" s="491"/>
      <c r="C533" s="491"/>
      <c r="D533" s="491"/>
      <c r="E533" s="491"/>
      <c r="F533" s="495"/>
      <c r="G533" s="230"/>
      <c r="H533" s="491"/>
      <c r="I533" s="491"/>
      <c r="J533" s="491"/>
      <c r="K533" s="491"/>
      <c r="L533" s="491"/>
      <c r="M533" s="491"/>
      <c r="N533" s="491"/>
      <c r="O533" s="491"/>
      <c r="P533" s="491"/>
      <c r="Q533" s="497"/>
      <c r="R533" s="213"/>
      <c r="S533" s="220"/>
      <c r="T533" s="220"/>
      <c r="U533" s="214"/>
      <c r="V533" s="491"/>
      <c r="W533" s="491"/>
      <c r="X533" s="491"/>
      <c r="Y533" s="491"/>
      <c r="Z533" s="491"/>
      <c r="AA533" s="491"/>
      <c r="AB533" s="491"/>
      <c r="AC533" s="491"/>
      <c r="AD533" s="491"/>
      <c r="AE533" s="491"/>
      <c r="AF533" s="491"/>
      <c r="AG533" s="491"/>
      <c r="AH533" s="193"/>
    </row>
    <row r="534" spans="1:34" x14ac:dyDescent="0.25">
      <c r="A534" s="193"/>
      <c r="B534" s="492"/>
      <c r="C534" s="492"/>
      <c r="D534" s="491"/>
      <c r="E534" s="491"/>
      <c r="F534" s="496"/>
      <c r="G534" s="231"/>
      <c r="H534" s="492"/>
      <c r="I534" s="492"/>
      <c r="J534" s="492"/>
      <c r="K534" s="492"/>
      <c r="L534" s="492"/>
      <c r="M534" s="492"/>
      <c r="N534" s="492"/>
      <c r="O534" s="492"/>
      <c r="P534" s="492"/>
      <c r="Q534" s="492"/>
      <c r="R534" s="221"/>
      <c r="S534" s="493">
        <f>L530/12</f>
        <v>21.666666666666668</v>
      </c>
      <c r="T534" s="493"/>
      <c r="U534" s="222"/>
      <c r="V534" s="492"/>
      <c r="W534" s="492"/>
      <c r="X534" s="492"/>
      <c r="Y534" s="492"/>
      <c r="Z534" s="492"/>
      <c r="AA534" s="492"/>
      <c r="AB534" s="492"/>
      <c r="AC534" s="492"/>
      <c r="AD534" s="492"/>
      <c r="AE534" s="492"/>
      <c r="AF534" s="492"/>
      <c r="AG534" s="492"/>
      <c r="AH534" s="193"/>
    </row>
    <row r="535" spans="1:34" ht="15.75" thickBot="1" x14ac:dyDescent="0.3">
      <c r="A535" s="195"/>
      <c r="B535" s="200" t="s">
        <v>309</v>
      </c>
      <c r="C535" s="199" t="s">
        <v>284</v>
      </c>
      <c r="D535" s="197">
        <v>60</v>
      </c>
      <c r="E535" s="201">
        <v>8</v>
      </c>
      <c r="F535" s="202"/>
      <c r="G535" s="202">
        <f>9.67*12</f>
        <v>116.03999999999999</v>
      </c>
      <c r="H535" s="202">
        <v>16</v>
      </c>
      <c r="I535" s="202">
        <v>12</v>
      </c>
      <c r="J535" s="202">
        <v>12</v>
      </c>
      <c r="K535" s="199"/>
      <c r="L535" s="199"/>
      <c r="M535" s="199"/>
      <c r="N535" s="199"/>
      <c r="O535" s="199"/>
      <c r="P535" s="199"/>
      <c r="Q535" s="198"/>
      <c r="R535" s="196"/>
      <c r="S535" s="196"/>
      <c r="T535" s="196"/>
      <c r="U535" s="196"/>
      <c r="V535" s="203"/>
      <c r="W535" s="202"/>
      <c r="X535" s="202"/>
      <c r="Y535" s="199"/>
      <c r="Z535" s="199"/>
      <c r="AA535" s="199"/>
      <c r="AB535" s="199"/>
      <c r="AC535" s="199"/>
      <c r="AD535" s="199"/>
      <c r="AE535" s="199"/>
      <c r="AF535" s="199"/>
      <c r="AG535" s="199"/>
      <c r="AH535" s="195"/>
    </row>
    <row r="536" spans="1:34" ht="15.75" thickBot="1" x14ac:dyDescent="0.3">
      <c r="A536" s="193"/>
      <c r="B536" s="204"/>
      <c r="C536" s="205"/>
      <c r="D536" s="194"/>
      <c r="E536" s="206"/>
      <c r="F536" s="205"/>
      <c r="G536" s="205"/>
      <c r="H536" s="207">
        <v>3</v>
      </c>
      <c r="I536" s="207">
        <v>2</v>
      </c>
      <c r="J536" s="205"/>
      <c r="K536" s="205"/>
      <c r="L536" s="205"/>
      <c r="M536" s="205"/>
      <c r="N536" s="205"/>
      <c r="O536" s="205"/>
      <c r="P536" s="205"/>
      <c r="Q536" s="208"/>
      <c r="R536" s="209"/>
      <c r="S536" s="210"/>
      <c r="T536" s="210"/>
      <c r="U536" s="211"/>
      <c r="V536" s="212"/>
      <c r="W536" s="204"/>
      <c r="X536" s="204"/>
      <c r="Y536" s="205"/>
      <c r="Z536" s="205"/>
      <c r="AA536" s="205"/>
      <c r="AB536" s="205"/>
      <c r="AC536" s="205"/>
      <c r="AD536" s="205"/>
      <c r="AE536" s="205"/>
      <c r="AF536" s="205"/>
      <c r="AG536" s="205"/>
      <c r="AH536" s="193"/>
    </row>
    <row r="537" spans="1:34" x14ac:dyDescent="0.25">
      <c r="A537" s="193"/>
      <c r="B537" s="490"/>
      <c r="C537" s="499" t="s">
        <v>265</v>
      </c>
      <c r="D537" s="490">
        <v>5</v>
      </c>
      <c r="E537" s="490">
        <v>0.625</v>
      </c>
      <c r="F537" s="490"/>
      <c r="G537" s="490">
        <f>G535</f>
        <v>116.03999999999999</v>
      </c>
      <c r="H537" s="490"/>
      <c r="I537" s="490">
        <v>2</v>
      </c>
      <c r="J537" s="490">
        <v>1</v>
      </c>
      <c r="K537" s="490"/>
      <c r="L537" s="490">
        <f>G535-2-2</f>
        <v>112.03999999999999</v>
      </c>
      <c r="M537" s="490"/>
      <c r="N537" s="490"/>
      <c r="O537" s="490"/>
      <c r="P537" s="490"/>
      <c r="Q537" s="490"/>
      <c r="R537" s="213"/>
      <c r="S537" s="502"/>
      <c r="T537" s="502"/>
      <c r="U537" s="214"/>
      <c r="V537" s="490">
        <f>SUM(R537:U541)</f>
        <v>9.336666666666666</v>
      </c>
      <c r="W537" s="490">
        <f>+SUM(K537:Q541)</f>
        <v>112.03999999999999</v>
      </c>
      <c r="X537" s="490">
        <f>(+I537*J537*W537)/12</f>
        <v>18.673333333333332</v>
      </c>
      <c r="Y537" s="490">
        <f>IF(Y$4=$D537,$X537*Y$5,0)</f>
        <v>0</v>
      </c>
      <c r="Z537" s="490">
        <f t="shared" ref="Z537:AF537" si="96">IF(Z$4=$D537,$X537*Z$5,0)</f>
        <v>0</v>
      </c>
      <c r="AA537" s="490">
        <f t="shared" si="96"/>
        <v>19.476286666666663</v>
      </c>
      <c r="AB537" s="490">
        <f t="shared" si="96"/>
        <v>0</v>
      </c>
      <c r="AC537" s="490">
        <f t="shared" si="96"/>
        <v>0</v>
      </c>
      <c r="AD537" s="490">
        <f t="shared" si="96"/>
        <v>0</v>
      </c>
      <c r="AE537" s="490">
        <f t="shared" si="96"/>
        <v>0</v>
      </c>
      <c r="AF537" s="490">
        <f t="shared" si="96"/>
        <v>0</v>
      </c>
      <c r="AG537" s="490"/>
      <c r="AH537" s="193"/>
    </row>
    <row r="538" spans="1:34" x14ac:dyDescent="0.25">
      <c r="A538" s="193"/>
      <c r="B538" s="491"/>
      <c r="C538" s="500"/>
      <c r="D538" s="491"/>
      <c r="E538" s="491"/>
      <c r="F538" s="491"/>
      <c r="G538" s="491"/>
      <c r="H538" s="491"/>
      <c r="I538" s="491"/>
      <c r="J538" s="491"/>
      <c r="K538" s="491"/>
      <c r="L538" s="491"/>
      <c r="M538" s="491"/>
      <c r="N538" s="491"/>
      <c r="O538" s="491"/>
      <c r="P538" s="491"/>
      <c r="Q538" s="491"/>
      <c r="R538" s="213"/>
      <c r="S538" s="215"/>
      <c r="T538" s="216"/>
      <c r="U538" s="214"/>
      <c r="V538" s="491"/>
      <c r="W538" s="491"/>
      <c r="X538" s="491"/>
      <c r="Y538" s="491"/>
      <c r="Z538" s="491"/>
      <c r="AA538" s="491"/>
      <c r="AB538" s="491"/>
      <c r="AC538" s="491"/>
      <c r="AD538" s="491"/>
      <c r="AE538" s="491"/>
      <c r="AF538" s="491"/>
      <c r="AG538" s="491"/>
      <c r="AH538" s="193"/>
    </row>
    <row r="539" spans="1:34" x14ac:dyDescent="0.25">
      <c r="A539" s="193"/>
      <c r="B539" s="491"/>
      <c r="C539" s="500"/>
      <c r="D539" s="491"/>
      <c r="E539" s="491"/>
      <c r="F539" s="491"/>
      <c r="G539" s="491"/>
      <c r="H539" s="491"/>
      <c r="I539" s="491"/>
      <c r="J539" s="491"/>
      <c r="K539" s="491"/>
      <c r="L539" s="491"/>
      <c r="M539" s="491"/>
      <c r="N539" s="491"/>
      <c r="O539" s="491"/>
      <c r="P539" s="491"/>
      <c r="Q539" s="491"/>
      <c r="R539" s="217"/>
      <c r="S539" s="218"/>
      <c r="T539" s="218"/>
      <c r="U539" s="219"/>
      <c r="V539" s="491"/>
      <c r="W539" s="491"/>
      <c r="X539" s="491"/>
      <c r="Y539" s="491"/>
      <c r="Z539" s="491"/>
      <c r="AA539" s="491"/>
      <c r="AB539" s="491"/>
      <c r="AC539" s="491"/>
      <c r="AD539" s="491"/>
      <c r="AE539" s="491"/>
      <c r="AF539" s="491"/>
      <c r="AG539" s="491"/>
      <c r="AH539" s="193"/>
    </row>
    <row r="540" spans="1:34" ht="15.75" thickBot="1" x14ac:dyDescent="0.3">
      <c r="A540" s="193"/>
      <c r="B540" s="491"/>
      <c r="C540" s="500"/>
      <c r="D540" s="491"/>
      <c r="E540" s="491"/>
      <c r="F540" s="491"/>
      <c r="G540" s="491"/>
      <c r="H540" s="491"/>
      <c r="I540" s="491"/>
      <c r="J540" s="491"/>
      <c r="K540" s="491"/>
      <c r="L540" s="491"/>
      <c r="M540" s="491"/>
      <c r="N540" s="491"/>
      <c r="O540" s="491"/>
      <c r="P540" s="491"/>
      <c r="Q540" s="491"/>
      <c r="R540" s="213"/>
      <c r="S540" s="220"/>
      <c r="T540" s="220"/>
      <c r="U540" s="214"/>
      <c r="V540" s="491"/>
      <c r="W540" s="491"/>
      <c r="X540" s="491"/>
      <c r="Y540" s="491"/>
      <c r="Z540" s="491"/>
      <c r="AA540" s="491"/>
      <c r="AB540" s="491"/>
      <c r="AC540" s="491"/>
      <c r="AD540" s="491"/>
      <c r="AE540" s="491"/>
      <c r="AF540" s="491"/>
      <c r="AG540" s="491"/>
      <c r="AH540" s="193"/>
    </row>
    <row r="541" spans="1:34" x14ac:dyDescent="0.25">
      <c r="A541" s="193"/>
      <c r="B541" s="492"/>
      <c r="C541" s="501"/>
      <c r="D541" s="492"/>
      <c r="E541" s="492"/>
      <c r="F541" s="492"/>
      <c r="G541" s="492"/>
      <c r="H541" s="492"/>
      <c r="I541" s="492"/>
      <c r="J541" s="492"/>
      <c r="K541" s="492"/>
      <c r="L541" s="492"/>
      <c r="M541" s="492"/>
      <c r="N541" s="492"/>
      <c r="O541" s="492"/>
      <c r="P541" s="492"/>
      <c r="Q541" s="492"/>
      <c r="R541" s="221"/>
      <c r="S541" s="493">
        <f>L537/12</f>
        <v>9.336666666666666</v>
      </c>
      <c r="T541" s="493"/>
      <c r="U541" s="222"/>
      <c r="V541" s="492"/>
      <c r="W541" s="492"/>
      <c r="X541" s="492"/>
      <c r="Y541" s="492"/>
      <c r="Z541" s="492"/>
      <c r="AA541" s="492"/>
      <c r="AB541" s="492"/>
      <c r="AC541" s="492"/>
      <c r="AD541" s="492"/>
      <c r="AE541" s="492"/>
      <c r="AF541" s="492"/>
      <c r="AG541" s="492"/>
      <c r="AH541" s="193"/>
    </row>
    <row r="542" spans="1:34" x14ac:dyDescent="0.25">
      <c r="A542" s="193"/>
      <c r="B542" s="490"/>
      <c r="C542" s="499" t="s">
        <v>271</v>
      </c>
      <c r="D542" s="490">
        <v>5</v>
      </c>
      <c r="E542" s="490">
        <v>0.625</v>
      </c>
      <c r="F542" s="490"/>
      <c r="G542" s="490"/>
      <c r="H542" s="490"/>
      <c r="I542" s="490">
        <v>2</v>
      </c>
      <c r="J542" s="490">
        <v>2</v>
      </c>
      <c r="K542" s="490">
        <v>30</v>
      </c>
      <c r="L542" s="490">
        <v>30</v>
      </c>
      <c r="M542" s="490"/>
      <c r="N542" s="490"/>
      <c r="O542" s="490"/>
      <c r="P542" s="490"/>
      <c r="Q542" s="490"/>
      <c r="R542" s="213"/>
      <c r="S542" s="498"/>
      <c r="T542" s="498"/>
      <c r="U542" s="214"/>
      <c r="V542" s="490">
        <f>SUM(R542:U546)</f>
        <v>5</v>
      </c>
      <c r="W542" s="490">
        <f>+SUM(K542:Q546)</f>
        <v>60</v>
      </c>
      <c r="X542" s="490">
        <f>(+I542*J542*W542)/12</f>
        <v>20</v>
      </c>
      <c r="Y542" s="490">
        <f t="shared" ref="Y542:AF542" si="97">IF(Y$4=$D542,$X542*Y$5,0)</f>
        <v>0</v>
      </c>
      <c r="Z542" s="490">
        <f t="shared" si="97"/>
        <v>0</v>
      </c>
      <c r="AA542" s="490">
        <f t="shared" si="97"/>
        <v>20.86</v>
      </c>
      <c r="AB542" s="490">
        <f t="shared" si="97"/>
        <v>0</v>
      </c>
      <c r="AC542" s="490">
        <f t="shared" si="97"/>
        <v>0</v>
      </c>
      <c r="AD542" s="490">
        <f t="shared" si="97"/>
        <v>0</v>
      </c>
      <c r="AE542" s="490">
        <f t="shared" si="97"/>
        <v>0</v>
      </c>
      <c r="AF542" s="490">
        <f t="shared" si="97"/>
        <v>0</v>
      </c>
      <c r="AG542" s="490"/>
      <c r="AH542" s="193"/>
    </row>
    <row r="543" spans="1:34" x14ac:dyDescent="0.25">
      <c r="A543" s="193"/>
      <c r="B543" s="491"/>
      <c r="C543" s="500"/>
      <c r="D543" s="491"/>
      <c r="E543" s="491"/>
      <c r="F543" s="491"/>
      <c r="G543" s="491"/>
      <c r="H543" s="491"/>
      <c r="I543" s="491"/>
      <c r="J543" s="491"/>
      <c r="K543" s="491"/>
      <c r="L543" s="491"/>
      <c r="M543" s="491"/>
      <c r="N543" s="491"/>
      <c r="O543" s="491"/>
      <c r="P543" s="491"/>
      <c r="Q543" s="491"/>
      <c r="R543" s="213"/>
      <c r="S543" s="215"/>
      <c r="T543" s="216"/>
      <c r="U543" s="214"/>
      <c r="V543" s="491"/>
      <c r="W543" s="491"/>
      <c r="X543" s="491"/>
      <c r="Y543" s="491"/>
      <c r="Z543" s="491"/>
      <c r="AA543" s="491"/>
      <c r="AB543" s="491"/>
      <c r="AC543" s="491"/>
      <c r="AD543" s="491"/>
      <c r="AE543" s="491"/>
      <c r="AF543" s="491"/>
      <c r="AG543" s="491"/>
      <c r="AH543" s="193"/>
    </row>
    <row r="544" spans="1:34" x14ac:dyDescent="0.25">
      <c r="A544" s="193"/>
      <c r="B544" s="491"/>
      <c r="C544" s="500"/>
      <c r="D544" s="491"/>
      <c r="E544" s="491"/>
      <c r="F544" s="491"/>
      <c r="G544" s="491"/>
      <c r="H544" s="491"/>
      <c r="I544" s="491"/>
      <c r="J544" s="491"/>
      <c r="K544" s="491"/>
      <c r="L544" s="491"/>
      <c r="M544" s="491"/>
      <c r="N544" s="491"/>
      <c r="O544" s="491"/>
      <c r="P544" s="491"/>
      <c r="Q544" s="491"/>
      <c r="R544" s="217">
        <f>K542/12</f>
        <v>2.5</v>
      </c>
      <c r="S544" s="223"/>
      <c r="T544" s="195"/>
      <c r="U544" s="219"/>
      <c r="V544" s="491"/>
      <c r="W544" s="491"/>
      <c r="X544" s="491"/>
      <c r="Y544" s="491"/>
      <c r="Z544" s="491"/>
      <c r="AA544" s="491"/>
      <c r="AB544" s="491"/>
      <c r="AC544" s="491"/>
      <c r="AD544" s="491"/>
      <c r="AE544" s="491"/>
      <c r="AF544" s="491"/>
      <c r="AG544" s="491"/>
      <c r="AH544" s="193"/>
    </row>
    <row r="545" spans="1:34" ht="15.75" thickBot="1" x14ac:dyDescent="0.3">
      <c r="A545" s="193"/>
      <c r="B545" s="491"/>
      <c r="C545" s="500"/>
      <c r="D545" s="491"/>
      <c r="E545" s="491"/>
      <c r="F545" s="491"/>
      <c r="G545" s="491"/>
      <c r="H545" s="491"/>
      <c r="I545" s="491"/>
      <c r="J545" s="491"/>
      <c r="K545" s="491"/>
      <c r="L545" s="491"/>
      <c r="M545" s="491"/>
      <c r="N545" s="491"/>
      <c r="O545" s="491"/>
      <c r="P545" s="491"/>
      <c r="Q545" s="491"/>
      <c r="R545" s="213"/>
      <c r="S545" s="224"/>
      <c r="T545" s="220"/>
      <c r="U545" s="214"/>
      <c r="V545" s="491"/>
      <c r="W545" s="491"/>
      <c r="X545" s="491"/>
      <c r="Y545" s="491"/>
      <c r="Z545" s="491"/>
      <c r="AA545" s="491"/>
      <c r="AB545" s="491"/>
      <c r="AC545" s="491"/>
      <c r="AD545" s="491"/>
      <c r="AE545" s="491"/>
      <c r="AF545" s="491"/>
      <c r="AG545" s="491"/>
      <c r="AH545" s="193"/>
    </row>
    <row r="546" spans="1:34" x14ac:dyDescent="0.25">
      <c r="A546" s="193"/>
      <c r="B546" s="492"/>
      <c r="C546" s="501"/>
      <c r="D546" s="492"/>
      <c r="E546" s="492"/>
      <c r="F546" s="492"/>
      <c r="G546" s="492"/>
      <c r="H546" s="492"/>
      <c r="I546" s="492"/>
      <c r="J546" s="492"/>
      <c r="K546" s="492"/>
      <c r="L546" s="492"/>
      <c r="M546" s="492"/>
      <c r="N546" s="492"/>
      <c r="O546" s="492"/>
      <c r="P546" s="492"/>
      <c r="Q546" s="492"/>
      <c r="R546" s="221"/>
      <c r="S546" s="493">
        <f>L542/12</f>
        <v>2.5</v>
      </c>
      <c r="T546" s="493"/>
      <c r="U546" s="222"/>
      <c r="V546" s="492"/>
      <c r="W546" s="492"/>
      <c r="X546" s="492"/>
      <c r="Y546" s="492"/>
      <c r="Z546" s="492"/>
      <c r="AA546" s="492"/>
      <c r="AB546" s="492"/>
      <c r="AC546" s="492"/>
      <c r="AD546" s="492"/>
      <c r="AE546" s="492"/>
      <c r="AF546" s="492"/>
      <c r="AG546" s="492"/>
      <c r="AH546" s="193"/>
    </row>
    <row r="547" spans="1:34" x14ac:dyDescent="0.25">
      <c r="A547" s="193"/>
      <c r="B547" s="490"/>
      <c r="C547" s="490" t="s">
        <v>277</v>
      </c>
      <c r="D547" s="490">
        <v>5</v>
      </c>
      <c r="E547" s="490">
        <v>0.625</v>
      </c>
      <c r="F547" s="494">
        <v>16</v>
      </c>
      <c r="G547" s="229"/>
      <c r="H547" s="490"/>
      <c r="I547" s="490">
        <f>ROUNDUP(G537/F547,0)</f>
        <v>8</v>
      </c>
      <c r="J547" s="490">
        <v>1</v>
      </c>
      <c r="K547" s="490">
        <v>6</v>
      </c>
      <c r="L547" s="490">
        <f>4*12-2</f>
        <v>46</v>
      </c>
      <c r="M547" s="490">
        <f>11*12</f>
        <v>132</v>
      </c>
      <c r="N547" s="490"/>
      <c r="O547" s="490"/>
      <c r="P547" s="490"/>
      <c r="Q547" s="490"/>
      <c r="R547" s="213"/>
      <c r="S547" s="498"/>
      <c r="T547" s="498"/>
      <c r="U547" s="214"/>
      <c r="V547" s="490">
        <f>SUM(R547:U551)</f>
        <v>15.333333333333334</v>
      </c>
      <c r="W547" s="490">
        <f>+SUM(K547:Q551)</f>
        <v>184</v>
      </c>
      <c r="X547" s="490">
        <f>(+I547*J547*W547)/12</f>
        <v>122.66666666666667</v>
      </c>
      <c r="Y547" s="490">
        <f t="shared" ref="Y547:AF547" si="98">IF(Y$4=$D547,$X547*Y$5,0)</f>
        <v>0</v>
      </c>
      <c r="Z547" s="490">
        <f t="shared" si="98"/>
        <v>0</v>
      </c>
      <c r="AA547" s="490">
        <f t="shared" si="98"/>
        <v>127.94133333333333</v>
      </c>
      <c r="AB547" s="490">
        <f t="shared" si="98"/>
        <v>0</v>
      </c>
      <c r="AC547" s="490">
        <f t="shared" si="98"/>
        <v>0</v>
      </c>
      <c r="AD547" s="490">
        <f t="shared" si="98"/>
        <v>0</v>
      </c>
      <c r="AE547" s="490">
        <f t="shared" si="98"/>
        <v>0</v>
      </c>
      <c r="AF547" s="490">
        <f t="shared" si="98"/>
        <v>0</v>
      </c>
      <c r="AG547" s="490"/>
      <c r="AH547" s="193"/>
    </row>
    <row r="548" spans="1:34" x14ac:dyDescent="0.25">
      <c r="A548" s="193"/>
      <c r="B548" s="491"/>
      <c r="C548" s="491"/>
      <c r="D548" s="491"/>
      <c r="E548" s="491"/>
      <c r="F548" s="495"/>
      <c r="G548" s="230"/>
      <c r="H548" s="491"/>
      <c r="I548" s="491"/>
      <c r="J548" s="491"/>
      <c r="K548" s="491"/>
      <c r="L548" s="491"/>
      <c r="M548" s="491"/>
      <c r="N548" s="491"/>
      <c r="O548" s="491"/>
      <c r="P548" s="491"/>
      <c r="Q548" s="491"/>
      <c r="R548" s="213"/>
      <c r="S548" s="215"/>
      <c r="T548" s="216"/>
      <c r="U548" s="214"/>
      <c r="V548" s="491"/>
      <c r="W548" s="491"/>
      <c r="X548" s="491"/>
      <c r="Y548" s="491"/>
      <c r="Z548" s="491"/>
      <c r="AA548" s="491"/>
      <c r="AB548" s="491"/>
      <c r="AC548" s="491"/>
      <c r="AD548" s="491"/>
      <c r="AE548" s="491"/>
      <c r="AF548" s="491"/>
      <c r="AG548" s="491"/>
      <c r="AH548" s="193"/>
    </row>
    <row r="549" spans="1:34" x14ac:dyDescent="0.25">
      <c r="A549" s="193"/>
      <c r="B549" s="491"/>
      <c r="C549" s="491"/>
      <c r="D549" s="491"/>
      <c r="E549" s="491"/>
      <c r="F549" s="495"/>
      <c r="G549" s="230"/>
      <c r="H549" s="491"/>
      <c r="I549" s="491"/>
      <c r="J549" s="491"/>
      <c r="K549" s="491"/>
      <c r="L549" s="491"/>
      <c r="M549" s="491"/>
      <c r="N549" s="491"/>
      <c r="O549" s="491"/>
      <c r="P549" s="491"/>
      <c r="Q549" s="491"/>
      <c r="R549" s="225">
        <f>K547/12</f>
        <v>0.5</v>
      </c>
      <c r="S549" s="218"/>
      <c r="T549" s="218"/>
      <c r="U549" s="219"/>
      <c r="V549" s="491"/>
      <c r="W549" s="491"/>
      <c r="X549" s="491"/>
      <c r="Y549" s="491"/>
      <c r="Z549" s="491"/>
      <c r="AA549" s="491"/>
      <c r="AB549" s="491"/>
      <c r="AC549" s="491"/>
      <c r="AD549" s="491"/>
      <c r="AE549" s="491"/>
      <c r="AF549" s="491"/>
      <c r="AG549" s="491"/>
      <c r="AH549" s="193"/>
    </row>
    <row r="550" spans="1:34" ht="15.75" thickBot="1" x14ac:dyDescent="0.3">
      <c r="A550" s="193"/>
      <c r="B550" s="491"/>
      <c r="C550" s="491"/>
      <c r="D550" s="491"/>
      <c r="E550" s="491"/>
      <c r="F550" s="495"/>
      <c r="G550" s="230"/>
      <c r="H550" s="491"/>
      <c r="I550" s="491"/>
      <c r="J550" s="491"/>
      <c r="K550" s="491"/>
      <c r="L550" s="491"/>
      <c r="M550" s="491"/>
      <c r="N550" s="491"/>
      <c r="O550" s="491"/>
      <c r="P550" s="491"/>
      <c r="Q550" s="491"/>
      <c r="R550" s="226"/>
      <c r="S550" s="220"/>
      <c r="T550" s="220"/>
      <c r="U550" s="214"/>
      <c r="V550" s="491"/>
      <c r="W550" s="491"/>
      <c r="X550" s="491"/>
      <c r="Y550" s="491"/>
      <c r="Z550" s="491"/>
      <c r="AA550" s="491"/>
      <c r="AB550" s="491"/>
      <c r="AC550" s="491"/>
      <c r="AD550" s="491"/>
      <c r="AE550" s="491"/>
      <c r="AF550" s="491"/>
      <c r="AG550" s="491"/>
      <c r="AH550" s="193"/>
    </row>
    <row r="551" spans="1:34" x14ac:dyDescent="0.25">
      <c r="A551" s="193"/>
      <c r="B551" s="492"/>
      <c r="C551" s="492"/>
      <c r="D551" s="491"/>
      <c r="E551" s="491"/>
      <c r="F551" s="496"/>
      <c r="G551" s="231"/>
      <c r="H551" s="492"/>
      <c r="I551" s="492"/>
      <c r="J551" s="492"/>
      <c r="K551" s="492"/>
      <c r="L551" s="492"/>
      <c r="M551" s="492"/>
      <c r="N551" s="492"/>
      <c r="O551" s="492"/>
      <c r="P551" s="492"/>
      <c r="Q551" s="492"/>
      <c r="R551" s="221"/>
      <c r="S551" s="493">
        <f>+SUM(L547:M551)/12</f>
        <v>14.833333333333334</v>
      </c>
      <c r="T551" s="493"/>
      <c r="U551" s="222"/>
      <c r="V551" s="492"/>
      <c r="W551" s="492"/>
      <c r="X551" s="492"/>
      <c r="Y551" s="492"/>
      <c r="Z551" s="492"/>
      <c r="AA551" s="492"/>
      <c r="AB551" s="492"/>
      <c r="AC551" s="492"/>
      <c r="AD551" s="492"/>
      <c r="AE551" s="492"/>
      <c r="AF551" s="492"/>
      <c r="AG551" s="492"/>
      <c r="AH551" s="193"/>
    </row>
    <row r="552" spans="1:34" x14ac:dyDescent="0.25">
      <c r="A552" s="193"/>
      <c r="B552" s="490"/>
      <c r="C552" s="490" t="s">
        <v>286</v>
      </c>
      <c r="D552" s="490">
        <v>5</v>
      </c>
      <c r="E552" s="490">
        <v>0.625</v>
      </c>
      <c r="F552" s="494">
        <v>16</v>
      </c>
      <c r="G552" s="229"/>
      <c r="H552" s="490"/>
      <c r="I552" s="490">
        <f>ROUNDUP(M547/F552,0)</f>
        <v>9</v>
      </c>
      <c r="J552" s="490">
        <v>1</v>
      </c>
      <c r="K552" s="490"/>
      <c r="L552" s="490">
        <f>G535-2-2</f>
        <v>112.03999999999999</v>
      </c>
      <c r="M552" s="490"/>
      <c r="N552" s="490"/>
      <c r="O552" s="490"/>
      <c r="P552" s="490"/>
      <c r="Q552" s="490"/>
      <c r="R552" s="213"/>
      <c r="S552" s="498"/>
      <c r="T552" s="498"/>
      <c r="U552" s="214"/>
      <c r="V552" s="490">
        <f>SUM(R552:U556)</f>
        <v>9.336666666666666</v>
      </c>
      <c r="W552" s="490">
        <f>+SUM(K552:Q556)</f>
        <v>112.03999999999999</v>
      </c>
      <c r="X552" s="490">
        <f>(+I552*J552*W552)/12</f>
        <v>84.029999999999987</v>
      </c>
      <c r="Y552" s="490">
        <f t="shared" ref="Y552:AF552" si="99">IF(Y$4=$D552,$X552*Y$5,0)</f>
        <v>0</v>
      </c>
      <c r="Z552" s="490">
        <f t="shared" si="99"/>
        <v>0</v>
      </c>
      <c r="AA552" s="490">
        <f t="shared" si="99"/>
        <v>87.643289999999979</v>
      </c>
      <c r="AB552" s="490">
        <f t="shared" si="99"/>
        <v>0</v>
      </c>
      <c r="AC552" s="490">
        <f t="shared" si="99"/>
        <v>0</v>
      </c>
      <c r="AD552" s="490">
        <f t="shared" si="99"/>
        <v>0</v>
      </c>
      <c r="AE552" s="490">
        <f t="shared" si="99"/>
        <v>0</v>
      </c>
      <c r="AF552" s="490">
        <f t="shared" si="99"/>
        <v>0</v>
      </c>
      <c r="AG552" s="490"/>
      <c r="AH552" s="193"/>
    </row>
    <row r="553" spans="1:34" x14ac:dyDescent="0.25">
      <c r="A553" s="193"/>
      <c r="B553" s="491"/>
      <c r="C553" s="491"/>
      <c r="D553" s="491"/>
      <c r="E553" s="491"/>
      <c r="F553" s="495"/>
      <c r="G553" s="230"/>
      <c r="H553" s="491"/>
      <c r="I553" s="491"/>
      <c r="J553" s="491"/>
      <c r="K553" s="491"/>
      <c r="L553" s="491"/>
      <c r="M553" s="491"/>
      <c r="N553" s="491"/>
      <c r="O553" s="491"/>
      <c r="P553" s="491"/>
      <c r="Q553" s="491"/>
      <c r="R553" s="213"/>
      <c r="S553" s="215"/>
      <c r="T553" s="216"/>
      <c r="U553" s="214"/>
      <c r="V553" s="491"/>
      <c r="W553" s="491"/>
      <c r="X553" s="491"/>
      <c r="Y553" s="491"/>
      <c r="Z553" s="491"/>
      <c r="AA553" s="491"/>
      <c r="AB553" s="491"/>
      <c r="AC553" s="491"/>
      <c r="AD553" s="491"/>
      <c r="AE553" s="491"/>
      <c r="AF553" s="491"/>
      <c r="AG553" s="491"/>
      <c r="AH553" s="193"/>
    </row>
    <row r="554" spans="1:34" x14ac:dyDescent="0.25">
      <c r="A554" s="193"/>
      <c r="B554" s="491"/>
      <c r="C554" s="491"/>
      <c r="D554" s="491"/>
      <c r="E554" s="491"/>
      <c r="F554" s="495"/>
      <c r="G554" s="230"/>
      <c r="H554" s="491"/>
      <c r="I554" s="491"/>
      <c r="J554" s="491"/>
      <c r="K554" s="491"/>
      <c r="L554" s="491"/>
      <c r="M554" s="491"/>
      <c r="N554" s="491"/>
      <c r="O554" s="491"/>
      <c r="P554" s="491"/>
      <c r="Q554" s="497"/>
      <c r="R554" s="217"/>
      <c r="S554" s="218"/>
      <c r="T554" s="218"/>
      <c r="U554" s="219"/>
      <c r="V554" s="491"/>
      <c r="W554" s="491"/>
      <c r="X554" s="491"/>
      <c r="Y554" s="491"/>
      <c r="Z554" s="491"/>
      <c r="AA554" s="491"/>
      <c r="AB554" s="491"/>
      <c r="AC554" s="491"/>
      <c r="AD554" s="491"/>
      <c r="AE554" s="491"/>
      <c r="AF554" s="491"/>
      <c r="AG554" s="491"/>
      <c r="AH554" s="193"/>
    </row>
    <row r="555" spans="1:34" ht="15.75" thickBot="1" x14ac:dyDescent="0.3">
      <c r="A555" s="193"/>
      <c r="B555" s="491"/>
      <c r="C555" s="491"/>
      <c r="D555" s="491"/>
      <c r="E555" s="491"/>
      <c r="F555" s="495"/>
      <c r="G555" s="230"/>
      <c r="H555" s="491"/>
      <c r="I555" s="491"/>
      <c r="J555" s="491"/>
      <c r="K555" s="491"/>
      <c r="L555" s="491"/>
      <c r="M555" s="491"/>
      <c r="N555" s="491"/>
      <c r="O555" s="491"/>
      <c r="P555" s="491"/>
      <c r="Q555" s="497"/>
      <c r="R555" s="213"/>
      <c r="S555" s="220"/>
      <c r="T555" s="220"/>
      <c r="U555" s="214"/>
      <c r="V555" s="491"/>
      <c r="W555" s="491"/>
      <c r="X555" s="491"/>
      <c r="Y555" s="491"/>
      <c r="Z555" s="491"/>
      <c r="AA555" s="491"/>
      <c r="AB555" s="491"/>
      <c r="AC555" s="491"/>
      <c r="AD555" s="491"/>
      <c r="AE555" s="491"/>
      <c r="AF555" s="491"/>
      <c r="AG555" s="491"/>
      <c r="AH555" s="193"/>
    </row>
    <row r="556" spans="1:34" x14ac:dyDescent="0.25">
      <c r="A556" s="193"/>
      <c r="B556" s="492"/>
      <c r="C556" s="492"/>
      <c r="D556" s="491"/>
      <c r="E556" s="491"/>
      <c r="F556" s="496"/>
      <c r="G556" s="231"/>
      <c r="H556" s="492"/>
      <c r="I556" s="492"/>
      <c r="J556" s="492"/>
      <c r="K556" s="492"/>
      <c r="L556" s="492"/>
      <c r="M556" s="492"/>
      <c r="N556" s="492"/>
      <c r="O556" s="492"/>
      <c r="P556" s="492"/>
      <c r="Q556" s="492"/>
      <c r="R556" s="221"/>
      <c r="S556" s="493">
        <f>L552/12</f>
        <v>9.336666666666666</v>
      </c>
      <c r="T556" s="493"/>
      <c r="U556" s="222"/>
      <c r="V556" s="492"/>
      <c r="W556" s="492"/>
      <c r="X556" s="492"/>
      <c r="Y556" s="492"/>
      <c r="Z556" s="492"/>
      <c r="AA556" s="492"/>
      <c r="AB556" s="492"/>
      <c r="AC556" s="492"/>
      <c r="AD556" s="492"/>
      <c r="AE556" s="492"/>
      <c r="AF556" s="492"/>
      <c r="AG556" s="492"/>
      <c r="AH556" s="193"/>
    </row>
    <row r="557" spans="1:34" ht="15.75" thickBot="1" x14ac:dyDescent="0.3">
      <c r="A557" s="195"/>
      <c r="B557" s="200" t="s">
        <v>310</v>
      </c>
      <c r="C557" s="199" t="s">
        <v>284</v>
      </c>
      <c r="D557" s="197">
        <v>60</v>
      </c>
      <c r="E557" s="201">
        <v>8</v>
      </c>
      <c r="F557" s="202"/>
      <c r="G557" s="202">
        <f>5*12</f>
        <v>60</v>
      </c>
      <c r="H557" s="202">
        <v>16</v>
      </c>
      <c r="I557" s="202">
        <v>12</v>
      </c>
      <c r="J557" s="202">
        <v>12</v>
      </c>
      <c r="K557" s="199"/>
      <c r="L557" s="199"/>
      <c r="M557" s="199"/>
      <c r="N557" s="199"/>
      <c r="O557" s="199"/>
      <c r="P557" s="199"/>
      <c r="Q557" s="198"/>
      <c r="R557" s="196"/>
      <c r="S557" s="196"/>
      <c r="T557" s="196"/>
      <c r="U557" s="196"/>
      <c r="V557" s="203"/>
      <c r="W557" s="202"/>
      <c r="X557" s="202"/>
      <c r="Y557" s="199"/>
      <c r="Z557" s="199"/>
      <c r="AA557" s="199"/>
      <c r="AB557" s="199"/>
      <c r="AC557" s="199"/>
      <c r="AD557" s="199"/>
      <c r="AE557" s="199"/>
      <c r="AF557" s="199"/>
      <c r="AG557" s="199"/>
      <c r="AH557" s="195"/>
    </row>
    <row r="558" spans="1:34" ht="15.75" thickBot="1" x14ac:dyDescent="0.3">
      <c r="A558" s="193"/>
      <c r="B558" s="204"/>
      <c r="C558" s="205"/>
      <c r="D558" s="194"/>
      <c r="E558" s="206"/>
      <c r="F558" s="205"/>
      <c r="G558" s="205"/>
      <c r="H558" s="207">
        <v>3</v>
      </c>
      <c r="I558" s="207">
        <v>2</v>
      </c>
      <c r="J558" s="205"/>
      <c r="K558" s="205"/>
      <c r="L558" s="205"/>
      <c r="M558" s="205"/>
      <c r="N558" s="205"/>
      <c r="O558" s="205"/>
      <c r="P558" s="205"/>
      <c r="Q558" s="208"/>
      <c r="R558" s="209"/>
      <c r="S558" s="210"/>
      <c r="T558" s="210"/>
      <c r="U558" s="211"/>
      <c r="V558" s="212"/>
      <c r="W558" s="204"/>
      <c r="X558" s="204"/>
      <c r="Y558" s="205"/>
      <c r="Z558" s="205"/>
      <c r="AA558" s="205"/>
      <c r="AB558" s="205"/>
      <c r="AC558" s="205"/>
      <c r="AD558" s="205"/>
      <c r="AE558" s="205"/>
      <c r="AF558" s="205"/>
      <c r="AG558" s="205"/>
      <c r="AH558" s="193"/>
    </row>
    <row r="559" spans="1:34" x14ac:dyDescent="0.25">
      <c r="A559" s="193"/>
      <c r="B559" s="490"/>
      <c r="C559" s="499" t="s">
        <v>265</v>
      </c>
      <c r="D559" s="490">
        <v>5</v>
      </c>
      <c r="E559" s="490">
        <v>0.625</v>
      </c>
      <c r="F559" s="490"/>
      <c r="G559" s="490">
        <f>G557</f>
        <v>60</v>
      </c>
      <c r="H559" s="490"/>
      <c r="I559" s="490">
        <v>2</v>
      </c>
      <c r="J559" s="490">
        <v>1</v>
      </c>
      <c r="K559" s="490"/>
      <c r="L559" s="490">
        <f>G557-2-2</f>
        <v>56</v>
      </c>
      <c r="M559" s="490"/>
      <c r="N559" s="490"/>
      <c r="O559" s="490"/>
      <c r="P559" s="490"/>
      <c r="Q559" s="490"/>
      <c r="R559" s="213"/>
      <c r="S559" s="502"/>
      <c r="T559" s="502"/>
      <c r="U559" s="214"/>
      <c r="V559" s="490">
        <f>SUM(R559:U563)</f>
        <v>4.666666666666667</v>
      </c>
      <c r="W559" s="490">
        <f>+SUM(K559:Q563)</f>
        <v>56</v>
      </c>
      <c r="X559" s="490">
        <f>(+I559*J559*W559)/12</f>
        <v>9.3333333333333339</v>
      </c>
      <c r="Y559" s="490">
        <f>IF(Y$4=$D559,$X559*Y$5,0)</f>
        <v>0</v>
      </c>
      <c r="Z559" s="490">
        <f t="shared" ref="Z559:AF559" si="100">IF(Z$4=$D559,$X559*Z$5,0)</f>
        <v>0</v>
      </c>
      <c r="AA559" s="490">
        <f t="shared" si="100"/>
        <v>9.7346666666666675</v>
      </c>
      <c r="AB559" s="490">
        <f t="shared" si="100"/>
        <v>0</v>
      </c>
      <c r="AC559" s="490">
        <f t="shared" si="100"/>
        <v>0</v>
      </c>
      <c r="AD559" s="490">
        <f t="shared" si="100"/>
        <v>0</v>
      </c>
      <c r="AE559" s="490">
        <f t="shared" si="100"/>
        <v>0</v>
      </c>
      <c r="AF559" s="490">
        <f t="shared" si="100"/>
        <v>0</v>
      </c>
      <c r="AG559" s="490"/>
      <c r="AH559" s="193"/>
    </row>
    <row r="560" spans="1:34" x14ac:dyDescent="0.25">
      <c r="A560" s="193"/>
      <c r="B560" s="491"/>
      <c r="C560" s="500"/>
      <c r="D560" s="491"/>
      <c r="E560" s="491"/>
      <c r="F560" s="491"/>
      <c r="G560" s="491"/>
      <c r="H560" s="491"/>
      <c r="I560" s="491"/>
      <c r="J560" s="491"/>
      <c r="K560" s="491"/>
      <c r="L560" s="491"/>
      <c r="M560" s="491"/>
      <c r="N560" s="491"/>
      <c r="O560" s="491"/>
      <c r="P560" s="491"/>
      <c r="Q560" s="491"/>
      <c r="R560" s="213"/>
      <c r="S560" s="215"/>
      <c r="T560" s="216"/>
      <c r="U560" s="214"/>
      <c r="V560" s="491"/>
      <c r="W560" s="491"/>
      <c r="X560" s="491"/>
      <c r="Y560" s="491"/>
      <c r="Z560" s="491"/>
      <c r="AA560" s="491"/>
      <c r="AB560" s="491"/>
      <c r="AC560" s="491"/>
      <c r="AD560" s="491"/>
      <c r="AE560" s="491"/>
      <c r="AF560" s="491"/>
      <c r="AG560" s="491"/>
      <c r="AH560" s="193"/>
    </row>
    <row r="561" spans="1:34" x14ac:dyDescent="0.25">
      <c r="A561" s="193"/>
      <c r="B561" s="491"/>
      <c r="C561" s="500"/>
      <c r="D561" s="491"/>
      <c r="E561" s="491"/>
      <c r="F561" s="491"/>
      <c r="G561" s="491"/>
      <c r="H561" s="491"/>
      <c r="I561" s="491"/>
      <c r="J561" s="491"/>
      <c r="K561" s="491"/>
      <c r="L561" s="491"/>
      <c r="M561" s="491"/>
      <c r="N561" s="491"/>
      <c r="O561" s="491"/>
      <c r="P561" s="491"/>
      <c r="Q561" s="491"/>
      <c r="R561" s="217"/>
      <c r="S561" s="218"/>
      <c r="T561" s="218"/>
      <c r="U561" s="219"/>
      <c r="V561" s="491"/>
      <c r="W561" s="491"/>
      <c r="X561" s="491"/>
      <c r="Y561" s="491"/>
      <c r="Z561" s="491"/>
      <c r="AA561" s="491"/>
      <c r="AB561" s="491"/>
      <c r="AC561" s="491"/>
      <c r="AD561" s="491"/>
      <c r="AE561" s="491"/>
      <c r="AF561" s="491"/>
      <c r="AG561" s="491"/>
      <c r="AH561" s="193"/>
    </row>
    <row r="562" spans="1:34" ht="15.75" thickBot="1" x14ac:dyDescent="0.3">
      <c r="A562" s="193"/>
      <c r="B562" s="491"/>
      <c r="C562" s="500"/>
      <c r="D562" s="491"/>
      <c r="E562" s="491"/>
      <c r="F562" s="491"/>
      <c r="G562" s="491"/>
      <c r="H562" s="491"/>
      <c r="I562" s="491"/>
      <c r="J562" s="491"/>
      <c r="K562" s="491"/>
      <c r="L562" s="491"/>
      <c r="M562" s="491"/>
      <c r="N562" s="491"/>
      <c r="O562" s="491"/>
      <c r="P562" s="491"/>
      <c r="Q562" s="491"/>
      <c r="R562" s="213"/>
      <c r="S562" s="220"/>
      <c r="T562" s="220"/>
      <c r="U562" s="214"/>
      <c r="V562" s="491"/>
      <c r="W562" s="491"/>
      <c r="X562" s="491"/>
      <c r="Y562" s="491"/>
      <c r="Z562" s="491"/>
      <c r="AA562" s="491"/>
      <c r="AB562" s="491"/>
      <c r="AC562" s="491"/>
      <c r="AD562" s="491"/>
      <c r="AE562" s="491"/>
      <c r="AF562" s="491"/>
      <c r="AG562" s="491"/>
      <c r="AH562" s="193"/>
    </row>
    <row r="563" spans="1:34" x14ac:dyDescent="0.25">
      <c r="A563" s="193"/>
      <c r="B563" s="492"/>
      <c r="C563" s="501"/>
      <c r="D563" s="492"/>
      <c r="E563" s="492"/>
      <c r="F563" s="492"/>
      <c r="G563" s="492"/>
      <c r="H563" s="492"/>
      <c r="I563" s="492"/>
      <c r="J563" s="492"/>
      <c r="K563" s="492"/>
      <c r="L563" s="492"/>
      <c r="M563" s="492"/>
      <c r="N563" s="492"/>
      <c r="O563" s="492"/>
      <c r="P563" s="492"/>
      <c r="Q563" s="492"/>
      <c r="R563" s="221"/>
      <c r="S563" s="493">
        <f>L559/12</f>
        <v>4.666666666666667</v>
      </c>
      <c r="T563" s="493"/>
      <c r="U563" s="222"/>
      <c r="V563" s="492"/>
      <c r="W563" s="492"/>
      <c r="X563" s="492"/>
      <c r="Y563" s="492"/>
      <c r="Z563" s="492"/>
      <c r="AA563" s="492"/>
      <c r="AB563" s="492"/>
      <c r="AC563" s="492"/>
      <c r="AD563" s="492"/>
      <c r="AE563" s="492"/>
      <c r="AF563" s="492"/>
      <c r="AG563" s="492"/>
      <c r="AH563" s="193"/>
    </row>
    <row r="564" spans="1:34" x14ac:dyDescent="0.25">
      <c r="A564" s="193"/>
      <c r="B564" s="490"/>
      <c r="C564" s="499" t="s">
        <v>271</v>
      </c>
      <c r="D564" s="490">
        <v>5</v>
      </c>
      <c r="E564" s="490">
        <v>0.625</v>
      </c>
      <c r="F564" s="490"/>
      <c r="G564" s="490"/>
      <c r="H564" s="490"/>
      <c r="I564" s="490">
        <v>2</v>
      </c>
      <c r="J564" s="490">
        <v>2</v>
      </c>
      <c r="K564" s="490">
        <v>30</v>
      </c>
      <c r="L564" s="490">
        <v>30</v>
      </c>
      <c r="M564" s="490"/>
      <c r="N564" s="490"/>
      <c r="O564" s="490"/>
      <c r="P564" s="490"/>
      <c r="Q564" s="490"/>
      <c r="R564" s="213"/>
      <c r="S564" s="498"/>
      <c r="T564" s="498"/>
      <c r="U564" s="214"/>
      <c r="V564" s="490">
        <f>SUM(R564:U568)</f>
        <v>5</v>
      </c>
      <c r="W564" s="490">
        <f>+SUM(K564:Q568)</f>
        <v>60</v>
      </c>
      <c r="X564" s="490">
        <f>(+I564*J564*W564)/12</f>
        <v>20</v>
      </c>
      <c r="Y564" s="490">
        <f t="shared" ref="Y564:AF564" si="101">IF(Y$4=$D564,$X564*Y$5,0)</f>
        <v>0</v>
      </c>
      <c r="Z564" s="490">
        <f t="shared" si="101"/>
        <v>0</v>
      </c>
      <c r="AA564" s="490">
        <f t="shared" si="101"/>
        <v>20.86</v>
      </c>
      <c r="AB564" s="490">
        <f t="shared" si="101"/>
        <v>0</v>
      </c>
      <c r="AC564" s="490">
        <f t="shared" si="101"/>
        <v>0</v>
      </c>
      <c r="AD564" s="490">
        <f t="shared" si="101"/>
        <v>0</v>
      </c>
      <c r="AE564" s="490">
        <f t="shared" si="101"/>
        <v>0</v>
      </c>
      <c r="AF564" s="490">
        <f t="shared" si="101"/>
        <v>0</v>
      </c>
      <c r="AG564" s="490"/>
      <c r="AH564" s="193"/>
    </row>
    <row r="565" spans="1:34" x14ac:dyDescent="0.25">
      <c r="A565" s="193"/>
      <c r="B565" s="491"/>
      <c r="C565" s="500"/>
      <c r="D565" s="491"/>
      <c r="E565" s="491"/>
      <c r="F565" s="491"/>
      <c r="G565" s="491"/>
      <c r="H565" s="491"/>
      <c r="I565" s="491"/>
      <c r="J565" s="491"/>
      <c r="K565" s="491"/>
      <c r="L565" s="491"/>
      <c r="M565" s="491"/>
      <c r="N565" s="491"/>
      <c r="O565" s="491"/>
      <c r="P565" s="491"/>
      <c r="Q565" s="491"/>
      <c r="R565" s="213"/>
      <c r="S565" s="215"/>
      <c r="T565" s="216"/>
      <c r="U565" s="214"/>
      <c r="V565" s="491"/>
      <c r="W565" s="491"/>
      <c r="X565" s="491"/>
      <c r="Y565" s="491"/>
      <c r="Z565" s="491"/>
      <c r="AA565" s="491"/>
      <c r="AB565" s="491"/>
      <c r="AC565" s="491"/>
      <c r="AD565" s="491"/>
      <c r="AE565" s="491"/>
      <c r="AF565" s="491"/>
      <c r="AG565" s="491"/>
      <c r="AH565" s="193"/>
    </row>
    <row r="566" spans="1:34" x14ac:dyDescent="0.25">
      <c r="A566" s="193"/>
      <c r="B566" s="491"/>
      <c r="C566" s="500"/>
      <c r="D566" s="491"/>
      <c r="E566" s="491"/>
      <c r="F566" s="491"/>
      <c r="G566" s="491"/>
      <c r="H566" s="491"/>
      <c r="I566" s="491"/>
      <c r="J566" s="491"/>
      <c r="K566" s="491"/>
      <c r="L566" s="491"/>
      <c r="M566" s="491"/>
      <c r="N566" s="491"/>
      <c r="O566" s="491"/>
      <c r="P566" s="491"/>
      <c r="Q566" s="491"/>
      <c r="R566" s="217">
        <f>K564/12</f>
        <v>2.5</v>
      </c>
      <c r="S566" s="223"/>
      <c r="T566" s="195"/>
      <c r="U566" s="219"/>
      <c r="V566" s="491"/>
      <c r="W566" s="491"/>
      <c r="X566" s="491"/>
      <c r="Y566" s="491"/>
      <c r="Z566" s="491"/>
      <c r="AA566" s="491"/>
      <c r="AB566" s="491"/>
      <c r="AC566" s="491"/>
      <c r="AD566" s="491"/>
      <c r="AE566" s="491"/>
      <c r="AF566" s="491"/>
      <c r="AG566" s="491"/>
      <c r="AH566" s="193"/>
    </row>
    <row r="567" spans="1:34" ht="15.75" thickBot="1" x14ac:dyDescent="0.3">
      <c r="A567" s="193"/>
      <c r="B567" s="491"/>
      <c r="C567" s="500"/>
      <c r="D567" s="491"/>
      <c r="E567" s="491"/>
      <c r="F567" s="491"/>
      <c r="G567" s="491"/>
      <c r="H567" s="491"/>
      <c r="I567" s="491"/>
      <c r="J567" s="491"/>
      <c r="K567" s="491"/>
      <c r="L567" s="491"/>
      <c r="M567" s="491"/>
      <c r="N567" s="491"/>
      <c r="O567" s="491"/>
      <c r="P567" s="491"/>
      <c r="Q567" s="491"/>
      <c r="R567" s="213"/>
      <c r="S567" s="224"/>
      <c r="T567" s="220"/>
      <c r="U567" s="214"/>
      <c r="V567" s="491"/>
      <c r="W567" s="491"/>
      <c r="X567" s="491"/>
      <c r="Y567" s="491"/>
      <c r="Z567" s="491"/>
      <c r="AA567" s="491"/>
      <c r="AB567" s="491"/>
      <c r="AC567" s="491"/>
      <c r="AD567" s="491"/>
      <c r="AE567" s="491"/>
      <c r="AF567" s="491"/>
      <c r="AG567" s="491"/>
      <c r="AH567" s="193"/>
    </row>
    <row r="568" spans="1:34" x14ac:dyDescent="0.25">
      <c r="A568" s="193"/>
      <c r="B568" s="492"/>
      <c r="C568" s="501"/>
      <c r="D568" s="492"/>
      <c r="E568" s="492"/>
      <c r="F568" s="492"/>
      <c r="G568" s="492"/>
      <c r="H568" s="492"/>
      <c r="I568" s="492"/>
      <c r="J568" s="492"/>
      <c r="K568" s="492"/>
      <c r="L568" s="492"/>
      <c r="M568" s="492"/>
      <c r="N568" s="492"/>
      <c r="O568" s="492"/>
      <c r="P568" s="492"/>
      <c r="Q568" s="492"/>
      <c r="R568" s="221"/>
      <c r="S568" s="493">
        <f>L564/12</f>
        <v>2.5</v>
      </c>
      <c r="T568" s="493"/>
      <c r="U568" s="222"/>
      <c r="V568" s="492"/>
      <c r="W568" s="492"/>
      <c r="X568" s="492"/>
      <c r="Y568" s="492"/>
      <c r="Z568" s="492"/>
      <c r="AA568" s="492"/>
      <c r="AB568" s="492"/>
      <c r="AC568" s="492"/>
      <c r="AD568" s="492"/>
      <c r="AE568" s="492"/>
      <c r="AF568" s="492"/>
      <c r="AG568" s="492"/>
      <c r="AH568" s="193"/>
    </row>
    <row r="569" spans="1:34" x14ac:dyDescent="0.25">
      <c r="A569" s="193"/>
      <c r="B569" s="490"/>
      <c r="C569" s="490" t="s">
        <v>277</v>
      </c>
      <c r="D569" s="490">
        <v>5</v>
      </c>
      <c r="E569" s="490">
        <v>0.625</v>
      </c>
      <c r="F569" s="494">
        <v>16</v>
      </c>
      <c r="G569" s="229"/>
      <c r="H569" s="490"/>
      <c r="I569" s="490">
        <f>ROUNDUP(G559/F569,0)</f>
        <v>4</v>
      </c>
      <c r="J569" s="490">
        <v>1</v>
      </c>
      <c r="K569" s="490">
        <v>6</v>
      </c>
      <c r="L569" s="490">
        <f>4*12-2</f>
        <v>46</v>
      </c>
      <c r="M569" s="490">
        <f>11*12</f>
        <v>132</v>
      </c>
      <c r="N569" s="490"/>
      <c r="O569" s="490"/>
      <c r="P569" s="490"/>
      <c r="Q569" s="490"/>
      <c r="R569" s="213"/>
      <c r="S569" s="498"/>
      <c r="T569" s="498"/>
      <c r="U569" s="214"/>
      <c r="V569" s="490">
        <f>SUM(R569:U573)</f>
        <v>15.333333333333334</v>
      </c>
      <c r="W569" s="490">
        <f>+SUM(K569:Q573)</f>
        <v>184</v>
      </c>
      <c r="X569" s="490">
        <f>(+I569*J569*W569)/12</f>
        <v>61.333333333333336</v>
      </c>
      <c r="Y569" s="490">
        <f t="shared" ref="Y569:AF569" si="102">IF(Y$4=$D569,$X569*Y$5,0)</f>
        <v>0</v>
      </c>
      <c r="Z569" s="490">
        <f t="shared" si="102"/>
        <v>0</v>
      </c>
      <c r="AA569" s="490">
        <f t="shared" si="102"/>
        <v>63.970666666666666</v>
      </c>
      <c r="AB569" s="490">
        <f t="shared" si="102"/>
        <v>0</v>
      </c>
      <c r="AC569" s="490">
        <f t="shared" si="102"/>
        <v>0</v>
      </c>
      <c r="AD569" s="490">
        <f t="shared" si="102"/>
        <v>0</v>
      </c>
      <c r="AE569" s="490">
        <f t="shared" si="102"/>
        <v>0</v>
      </c>
      <c r="AF569" s="490">
        <f t="shared" si="102"/>
        <v>0</v>
      </c>
      <c r="AG569" s="490"/>
      <c r="AH569" s="193"/>
    </row>
    <row r="570" spans="1:34" x14ac:dyDescent="0.25">
      <c r="A570" s="193"/>
      <c r="B570" s="491"/>
      <c r="C570" s="491"/>
      <c r="D570" s="491"/>
      <c r="E570" s="491"/>
      <c r="F570" s="495"/>
      <c r="G570" s="230"/>
      <c r="H570" s="491"/>
      <c r="I570" s="491"/>
      <c r="J570" s="491"/>
      <c r="K570" s="491"/>
      <c r="L570" s="491"/>
      <c r="M570" s="491"/>
      <c r="N570" s="491"/>
      <c r="O570" s="491"/>
      <c r="P570" s="491"/>
      <c r="Q570" s="491"/>
      <c r="R570" s="213"/>
      <c r="S570" s="215"/>
      <c r="T570" s="216"/>
      <c r="U570" s="214"/>
      <c r="V570" s="491"/>
      <c r="W570" s="491"/>
      <c r="X570" s="491"/>
      <c r="Y570" s="491"/>
      <c r="Z570" s="491"/>
      <c r="AA570" s="491"/>
      <c r="AB570" s="491"/>
      <c r="AC570" s="491"/>
      <c r="AD570" s="491"/>
      <c r="AE570" s="491"/>
      <c r="AF570" s="491"/>
      <c r="AG570" s="491"/>
      <c r="AH570" s="193"/>
    </row>
    <row r="571" spans="1:34" x14ac:dyDescent="0.25">
      <c r="A571" s="193"/>
      <c r="B571" s="491"/>
      <c r="C571" s="491"/>
      <c r="D571" s="491"/>
      <c r="E571" s="491"/>
      <c r="F571" s="495"/>
      <c r="G571" s="230"/>
      <c r="H571" s="491"/>
      <c r="I571" s="491"/>
      <c r="J571" s="491"/>
      <c r="K571" s="491"/>
      <c r="L571" s="491"/>
      <c r="M571" s="491"/>
      <c r="N571" s="491"/>
      <c r="O571" s="491"/>
      <c r="P571" s="491"/>
      <c r="Q571" s="491"/>
      <c r="R571" s="225">
        <f>K569/12</f>
        <v>0.5</v>
      </c>
      <c r="S571" s="218"/>
      <c r="T571" s="218"/>
      <c r="U571" s="219"/>
      <c r="V571" s="491"/>
      <c r="W571" s="491"/>
      <c r="X571" s="491"/>
      <c r="Y571" s="491"/>
      <c r="Z571" s="491"/>
      <c r="AA571" s="491"/>
      <c r="AB571" s="491"/>
      <c r="AC571" s="491"/>
      <c r="AD571" s="491"/>
      <c r="AE571" s="491"/>
      <c r="AF571" s="491"/>
      <c r="AG571" s="491"/>
      <c r="AH571" s="193"/>
    </row>
    <row r="572" spans="1:34" ht="15.75" thickBot="1" x14ac:dyDescent="0.3">
      <c r="A572" s="193"/>
      <c r="B572" s="491"/>
      <c r="C572" s="491"/>
      <c r="D572" s="491"/>
      <c r="E572" s="491"/>
      <c r="F572" s="495"/>
      <c r="G572" s="230"/>
      <c r="H572" s="491"/>
      <c r="I572" s="491"/>
      <c r="J572" s="491"/>
      <c r="K572" s="491"/>
      <c r="L572" s="491"/>
      <c r="M572" s="491"/>
      <c r="N572" s="491"/>
      <c r="O572" s="491"/>
      <c r="P572" s="491"/>
      <c r="Q572" s="491"/>
      <c r="R572" s="226"/>
      <c r="S572" s="220"/>
      <c r="T572" s="220"/>
      <c r="U572" s="214"/>
      <c r="V572" s="491"/>
      <c r="W572" s="491"/>
      <c r="X572" s="491"/>
      <c r="Y572" s="491"/>
      <c r="Z572" s="491"/>
      <c r="AA572" s="491"/>
      <c r="AB572" s="491"/>
      <c r="AC572" s="491"/>
      <c r="AD572" s="491"/>
      <c r="AE572" s="491"/>
      <c r="AF572" s="491"/>
      <c r="AG572" s="491"/>
      <c r="AH572" s="193"/>
    </row>
    <row r="573" spans="1:34" x14ac:dyDescent="0.25">
      <c r="A573" s="193"/>
      <c r="B573" s="492"/>
      <c r="C573" s="492"/>
      <c r="D573" s="491"/>
      <c r="E573" s="491"/>
      <c r="F573" s="496"/>
      <c r="G573" s="231"/>
      <c r="H573" s="492"/>
      <c r="I573" s="492"/>
      <c r="J573" s="492"/>
      <c r="K573" s="492"/>
      <c r="L573" s="492"/>
      <c r="M573" s="492"/>
      <c r="N573" s="492"/>
      <c r="O573" s="492"/>
      <c r="P573" s="492"/>
      <c r="Q573" s="492"/>
      <c r="R573" s="221"/>
      <c r="S573" s="493">
        <f>+SUM(L569:M573)/12</f>
        <v>14.833333333333334</v>
      </c>
      <c r="T573" s="493"/>
      <c r="U573" s="222"/>
      <c r="V573" s="492"/>
      <c r="W573" s="492"/>
      <c r="X573" s="492"/>
      <c r="Y573" s="492"/>
      <c r="Z573" s="492"/>
      <c r="AA573" s="492"/>
      <c r="AB573" s="492"/>
      <c r="AC573" s="492"/>
      <c r="AD573" s="492"/>
      <c r="AE573" s="492"/>
      <c r="AF573" s="492"/>
      <c r="AG573" s="492"/>
      <c r="AH573" s="193"/>
    </row>
    <row r="574" spans="1:34" x14ac:dyDescent="0.25">
      <c r="A574" s="193"/>
      <c r="B574" s="490"/>
      <c r="C574" s="490" t="s">
        <v>286</v>
      </c>
      <c r="D574" s="490">
        <v>5</v>
      </c>
      <c r="E574" s="490">
        <v>0.625</v>
      </c>
      <c r="F574" s="494">
        <v>16</v>
      </c>
      <c r="G574" s="229"/>
      <c r="H574" s="490"/>
      <c r="I574" s="490">
        <f>ROUNDUP(M569/F574,0)</f>
        <v>9</v>
      </c>
      <c r="J574" s="490">
        <v>1</v>
      </c>
      <c r="K574" s="490"/>
      <c r="L574" s="490">
        <f>G557-2-2</f>
        <v>56</v>
      </c>
      <c r="M574" s="490"/>
      <c r="N574" s="490"/>
      <c r="O574" s="490"/>
      <c r="P574" s="490"/>
      <c r="Q574" s="490"/>
      <c r="R574" s="213"/>
      <c r="S574" s="498"/>
      <c r="T574" s="498"/>
      <c r="U574" s="214"/>
      <c r="V574" s="490">
        <f>SUM(R574:U578)</f>
        <v>4.666666666666667</v>
      </c>
      <c r="W574" s="490">
        <f>+SUM(K574:Q578)</f>
        <v>56</v>
      </c>
      <c r="X574" s="490">
        <f>(+I574*J574*W574)/12</f>
        <v>42</v>
      </c>
      <c r="Y574" s="490">
        <f t="shared" ref="Y574:AF574" si="103">IF(Y$4=$D574,$X574*Y$5,0)</f>
        <v>0</v>
      </c>
      <c r="Z574" s="490">
        <f t="shared" si="103"/>
        <v>0</v>
      </c>
      <c r="AA574" s="490">
        <f t="shared" si="103"/>
        <v>43.805999999999997</v>
      </c>
      <c r="AB574" s="490">
        <f t="shared" si="103"/>
        <v>0</v>
      </c>
      <c r="AC574" s="490">
        <f t="shared" si="103"/>
        <v>0</v>
      </c>
      <c r="AD574" s="490">
        <f t="shared" si="103"/>
        <v>0</v>
      </c>
      <c r="AE574" s="490">
        <f t="shared" si="103"/>
        <v>0</v>
      </c>
      <c r="AF574" s="490">
        <f t="shared" si="103"/>
        <v>0</v>
      </c>
      <c r="AG574" s="490"/>
      <c r="AH574" s="193"/>
    </row>
    <row r="575" spans="1:34" x14ac:dyDescent="0.25">
      <c r="A575" s="193"/>
      <c r="B575" s="491"/>
      <c r="C575" s="491"/>
      <c r="D575" s="491"/>
      <c r="E575" s="491"/>
      <c r="F575" s="495"/>
      <c r="G575" s="230"/>
      <c r="H575" s="491"/>
      <c r="I575" s="491"/>
      <c r="J575" s="491"/>
      <c r="K575" s="491"/>
      <c r="L575" s="491"/>
      <c r="M575" s="491"/>
      <c r="N575" s="491"/>
      <c r="O575" s="491"/>
      <c r="P575" s="491"/>
      <c r="Q575" s="491"/>
      <c r="R575" s="213"/>
      <c r="S575" s="215"/>
      <c r="T575" s="216"/>
      <c r="U575" s="214"/>
      <c r="V575" s="491"/>
      <c r="W575" s="491"/>
      <c r="X575" s="491"/>
      <c r="Y575" s="491"/>
      <c r="Z575" s="491"/>
      <c r="AA575" s="491"/>
      <c r="AB575" s="491"/>
      <c r="AC575" s="491"/>
      <c r="AD575" s="491"/>
      <c r="AE575" s="491"/>
      <c r="AF575" s="491"/>
      <c r="AG575" s="491"/>
      <c r="AH575" s="193"/>
    </row>
    <row r="576" spans="1:34" x14ac:dyDescent="0.25">
      <c r="A576" s="193"/>
      <c r="B576" s="491"/>
      <c r="C576" s="491"/>
      <c r="D576" s="491"/>
      <c r="E576" s="491"/>
      <c r="F576" s="495"/>
      <c r="G576" s="230"/>
      <c r="H576" s="491"/>
      <c r="I576" s="491"/>
      <c r="J576" s="491"/>
      <c r="K576" s="491"/>
      <c r="L576" s="491"/>
      <c r="M576" s="491"/>
      <c r="N576" s="491"/>
      <c r="O576" s="491"/>
      <c r="P576" s="491"/>
      <c r="Q576" s="497"/>
      <c r="R576" s="217"/>
      <c r="S576" s="218"/>
      <c r="T576" s="218"/>
      <c r="U576" s="219"/>
      <c r="V576" s="491"/>
      <c r="W576" s="491"/>
      <c r="X576" s="491"/>
      <c r="Y576" s="491"/>
      <c r="Z576" s="491"/>
      <c r="AA576" s="491"/>
      <c r="AB576" s="491"/>
      <c r="AC576" s="491"/>
      <c r="AD576" s="491"/>
      <c r="AE576" s="491"/>
      <c r="AF576" s="491"/>
      <c r="AG576" s="491"/>
      <c r="AH576" s="193"/>
    </row>
    <row r="577" spans="1:34" ht="15.75" thickBot="1" x14ac:dyDescent="0.3">
      <c r="A577" s="193"/>
      <c r="B577" s="491"/>
      <c r="C577" s="491"/>
      <c r="D577" s="491"/>
      <c r="E577" s="491"/>
      <c r="F577" s="495"/>
      <c r="G577" s="230"/>
      <c r="H577" s="491"/>
      <c r="I577" s="491"/>
      <c r="J577" s="491"/>
      <c r="K577" s="491"/>
      <c r="L577" s="491"/>
      <c r="M577" s="491"/>
      <c r="N577" s="491"/>
      <c r="O577" s="491"/>
      <c r="P577" s="491"/>
      <c r="Q577" s="497"/>
      <c r="R577" s="213"/>
      <c r="S577" s="220"/>
      <c r="T577" s="220"/>
      <c r="U577" s="214"/>
      <c r="V577" s="491"/>
      <c r="W577" s="491"/>
      <c r="X577" s="491"/>
      <c r="Y577" s="491"/>
      <c r="Z577" s="491"/>
      <c r="AA577" s="491"/>
      <c r="AB577" s="491"/>
      <c r="AC577" s="491"/>
      <c r="AD577" s="491"/>
      <c r="AE577" s="491"/>
      <c r="AF577" s="491"/>
      <c r="AG577" s="491"/>
      <c r="AH577" s="193"/>
    </row>
    <row r="578" spans="1:34" x14ac:dyDescent="0.25">
      <c r="A578" s="193"/>
      <c r="B578" s="492"/>
      <c r="C578" s="492"/>
      <c r="D578" s="491"/>
      <c r="E578" s="491"/>
      <c r="F578" s="496"/>
      <c r="G578" s="231"/>
      <c r="H578" s="492"/>
      <c r="I578" s="492"/>
      <c r="J578" s="492"/>
      <c r="K578" s="492"/>
      <c r="L578" s="492"/>
      <c r="M578" s="492"/>
      <c r="N578" s="492"/>
      <c r="O578" s="492"/>
      <c r="P578" s="492"/>
      <c r="Q578" s="492"/>
      <c r="R578" s="221"/>
      <c r="S578" s="493">
        <f>L574/12</f>
        <v>4.666666666666667</v>
      </c>
      <c r="T578" s="493"/>
      <c r="U578" s="222"/>
      <c r="V578" s="492"/>
      <c r="W578" s="492"/>
      <c r="X578" s="492"/>
      <c r="Y578" s="492"/>
      <c r="Z578" s="492"/>
      <c r="AA578" s="492"/>
      <c r="AB578" s="492"/>
      <c r="AC578" s="492"/>
      <c r="AD578" s="492"/>
      <c r="AE578" s="492"/>
      <c r="AF578" s="492"/>
      <c r="AG578" s="492"/>
      <c r="AH578" s="193"/>
    </row>
    <row r="579" spans="1:34" ht="15.75" thickBot="1" x14ac:dyDescent="0.3">
      <c r="A579" s="195"/>
      <c r="B579" s="200" t="s">
        <v>311</v>
      </c>
      <c r="C579" s="199" t="s">
        <v>284</v>
      </c>
      <c r="D579" s="197">
        <v>60</v>
      </c>
      <c r="E579" s="201">
        <v>8</v>
      </c>
      <c r="F579" s="202"/>
      <c r="G579" s="202">
        <f>14.64*12</f>
        <v>175.68</v>
      </c>
      <c r="H579" s="202">
        <v>16</v>
      </c>
      <c r="I579" s="202">
        <v>12</v>
      </c>
      <c r="J579" s="202">
        <v>12</v>
      </c>
      <c r="K579" s="199"/>
      <c r="L579" s="199"/>
      <c r="M579" s="199"/>
      <c r="N579" s="199"/>
      <c r="O579" s="199"/>
      <c r="P579" s="199"/>
      <c r="Q579" s="198"/>
      <c r="R579" s="196"/>
      <c r="S579" s="196"/>
      <c r="T579" s="196"/>
      <c r="U579" s="196"/>
      <c r="V579" s="203"/>
      <c r="W579" s="202"/>
      <c r="X579" s="202"/>
      <c r="Y579" s="199"/>
      <c r="Z579" s="199"/>
      <c r="AA579" s="199"/>
      <c r="AB579" s="199"/>
      <c r="AC579" s="199"/>
      <c r="AD579" s="199"/>
      <c r="AE579" s="199"/>
      <c r="AF579" s="199"/>
      <c r="AG579" s="199"/>
      <c r="AH579" s="195"/>
    </row>
    <row r="580" spans="1:34" ht="15.75" thickBot="1" x14ac:dyDescent="0.3">
      <c r="A580" s="193"/>
      <c r="B580" s="204"/>
      <c r="C580" s="205"/>
      <c r="D580" s="194"/>
      <c r="E580" s="206"/>
      <c r="F580" s="205"/>
      <c r="G580" s="205"/>
      <c r="H580" s="207">
        <v>3</v>
      </c>
      <c r="I580" s="207">
        <v>2</v>
      </c>
      <c r="J580" s="205"/>
      <c r="K580" s="205"/>
      <c r="L580" s="205"/>
      <c r="M580" s="205"/>
      <c r="N580" s="205"/>
      <c r="O580" s="205"/>
      <c r="P580" s="205"/>
      <c r="Q580" s="208"/>
      <c r="R580" s="209"/>
      <c r="S580" s="210"/>
      <c r="T580" s="210"/>
      <c r="U580" s="211"/>
      <c r="V580" s="212"/>
      <c r="W580" s="204"/>
      <c r="X580" s="204"/>
      <c r="Y580" s="205"/>
      <c r="Z580" s="205"/>
      <c r="AA580" s="205"/>
      <c r="AB580" s="205"/>
      <c r="AC580" s="205"/>
      <c r="AD580" s="205"/>
      <c r="AE580" s="205"/>
      <c r="AF580" s="205"/>
      <c r="AG580" s="205"/>
      <c r="AH580" s="193"/>
    </row>
    <row r="581" spans="1:34" x14ac:dyDescent="0.25">
      <c r="A581" s="193"/>
      <c r="B581" s="490"/>
      <c r="C581" s="499" t="s">
        <v>265</v>
      </c>
      <c r="D581" s="490">
        <v>5</v>
      </c>
      <c r="E581" s="490">
        <v>0.625</v>
      </c>
      <c r="F581" s="490"/>
      <c r="G581" s="490">
        <f>G579</f>
        <v>175.68</v>
      </c>
      <c r="H581" s="490"/>
      <c r="I581" s="490">
        <v>2</v>
      </c>
      <c r="J581" s="490">
        <v>1</v>
      </c>
      <c r="K581" s="490"/>
      <c r="L581" s="490">
        <f>G579-2-2</f>
        <v>171.68</v>
      </c>
      <c r="M581" s="490"/>
      <c r="N581" s="490"/>
      <c r="O581" s="490"/>
      <c r="P581" s="490"/>
      <c r="Q581" s="490"/>
      <c r="R581" s="213"/>
      <c r="S581" s="502"/>
      <c r="T581" s="502"/>
      <c r="U581" s="214"/>
      <c r="V581" s="490">
        <f>SUM(R581:U585)</f>
        <v>14.306666666666667</v>
      </c>
      <c r="W581" s="490">
        <f>+SUM(K581:Q585)</f>
        <v>171.68</v>
      </c>
      <c r="X581" s="490">
        <f>(+I581*J581*W581)/12</f>
        <v>28.613333333333333</v>
      </c>
      <c r="Y581" s="490">
        <f>IF(Y$4=$D581,$X581*Y$5,0)</f>
        <v>0</v>
      </c>
      <c r="Z581" s="490">
        <f t="shared" ref="Z581:AF581" si="104">IF(Z$4=$D581,$X581*Z$5,0)</f>
        <v>0</v>
      </c>
      <c r="AA581" s="490">
        <f t="shared" si="104"/>
        <v>29.843706666666666</v>
      </c>
      <c r="AB581" s="490">
        <f t="shared" si="104"/>
        <v>0</v>
      </c>
      <c r="AC581" s="490">
        <f t="shared" si="104"/>
        <v>0</v>
      </c>
      <c r="AD581" s="490">
        <f t="shared" si="104"/>
        <v>0</v>
      </c>
      <c r="AE581" s="490">
        <f t="shared" si="104"/>
        <v>0</v>
      </c>
      <c r="AF581" s="490">
        <f t="shared" si="104"/>
        <v>0</v>
      </c>
      <c r="AG581" s="490"/>
      <c r="AH581" s="193"/>
    </row>
    <row r="582" spans="1:34" x14ac:dyDescent="0.25">
      <c r="A582" s="193"/>
      <c r="B582" s="491"/>
      <c r="C582" s="500"/>
      <c r="D582" s="491"/>
      <c r="E582" s="491"/>
      <c r="F582" s="491"/>
      <c r="G582" s="491"/>
      <c r="H582" s="491"/>
      <c r="I582" s="491"/>
      <c r="J582" s="491"/>
      <c r="K582" s="491"/>
      <c r="L582" s="491"/>
      <c r="M582" s="491"/>
      <c r="N582" s="491"/>
      <c r="O582" s="491"/>
      <c r="P582" s="491"/>
      <c r="Q582" s="491"/>
      <c r="R582" s="213"/>
      <c r="S582" s="215"/>
      <c r="T582" s="216"/>
      <c r="U582" s="214"/>
      <c r="V582" s="491"/>
      <c r="W582" s="491"/>
      <c r="X582" s="491"/>
      <c r="Y582" s="491"/>
      <c r="Z582" s="491"/>
      <c r="AA582" s="491"/>
      <c r="AB582" s="491"/>
      <c r="AC582" s="491"/>
      <c r="AD582" s="491"/>
      <c r="AE582" s="491"/>
      <c r="AF582" s="491"/>
      <c r="AG582" s="491"/>
      <c r="AH582" s="193"/>
    </row>
    <row r="583" spans="1:34" x14ac:dyDescent="0.25">
      <c r="A583" s="193"/>
      <c r="B583" s="491"/>
      <c r="C583" s="500"/>
      <c r="D583" s="491"/>
      <c r="E583" s="491"/>
      <c r="F583" s="491"/>
      <c r="G583" s="491"/>
      <c r="H583" s="491"/>
      <c r="I583" s="491"/>
      <c r="J583" s="491"/>
      <c r="K583" s="491"/>
      <c r="L583" s="491"/>
      <c r="M583" s="491"/>
      <c r="N583" s="491"/>
      <c r="O583" s="491"/>
      <c r="P583" s="491"/>
      <c r="Q583" s="491"/>
      <c r="R583" s="217"/>
      <c r="S583" s="218"/>
      <c r="T583" s="218"/>
      <c r="U583" s="219"/>
      <c r="V583" s="491"/>
      <c r="W583" s="491"/>
      <c r="X583" s="491"/>
      <c r="Y583" s="491"/>
      <c r="Z583" s="491"/>
      <c r="AA583" s="491"/>
      <c r="AB583" s="491"/>
      <c r="AC583" s="491"/>
      <c r="AD583" s="491"/>
      <c r="AE583" s="491"/>
      <c r="AF583" s="491"/>
      <c r="AG583" s="491"/>
      <c r="AH583" s="193"/>
    </row>
    <row r="584" spans="1:34" ht="15.75" thickBot="1" x14ac:dyDescent="0.3">
      <c r="A584" s="193"/>
      <c r="B584" s="491"/>
      <c r="C584" s="500"/>
      <c r="D584" s="491"/>
      <c r="E584" s="491"/>
      <c r="F584" s="491"/>
      <c r="G584" s="491"/>
      <c r="H584" s="491"/>
      <c r="I584" s="491"/>
      <c r="J584" s="491"/>
      <c r="K584" s="491"/>
      <c r="L584" s="491"/>
      <c r="M584" s="491"/>
      <c r="N584" s="491"/>
      <c r="O584" s="491"/>
      <c r="P584" s="491"/>
      <c r="Q584" s="491"/>
      <c r="R584" s="213"/>
      <c r="S584" s="220"/>
      <c r="T584" s="220"/>
      <c r="U584" s="214"/>
      <c r="V584" s="491"/>
      <c r="W584" s="491"/>
      <c r="X584" s="491"/>
      <c r="Y584" s="491"/>
      <c r="Z584" s="491"/>
      <c r="AA584" s="491"/>
      <c r="AB584" s="491"/>
      <c r="AC584" s="491"/>
      <c r="AD584" s="491"/>
      <c r="AE584" s="491"/>
      <c r="AF584" s="491"/>
      <c r="AG584" s="491"/>
      <c r="AH584" s="193"/>
    </row>
    <row r="585" spans="1:34" x14ac:dyDescent="0.25">
      <c r="A585" s="193"/>
      <c r="B585" s="492"/>
      <c r="C585" s="501"/>
      <c r="D585" s="492"/>
      <c r="E585" s="492"/>
      <c r="F585" s="492"/>
      <c r="G585" s="492"/>
      <c r="H585" s="492"/>
      <c r="I585" s="492"/>
      <c r="J585" s="492"/>
      <c r="K585" s="492"/>
      <c r="L585" s="492"/>
      <c r="M585" s="492"/>
      <c r="N585" s="492"/>
      <c r="O585" s="492"/>
      <c r="P585" s="492"/>
      <c r="Q585" s="492"/>
      <c r="R585" s="221"/>
      <c r="S585" s="493">
        <f>L581/12</f>
        <v>14.306666666666667</v>
      </c>
      <c r="T585" s="493"/>
      <c r="U585" s="222"/>
      <c r="V585" s="492"/>
      <c r="W585" s="492"/>
      <c r="X585" s="492"/>
      <c r="Y585" s="492"/>
      <c r="Z585" s="492"/>
      <c r="AA585" s="492"/>
      <c r="AB585" s="492"/>
      <c r="AC585" s="492"/>
      <c r="AD585" s="492"/>
      <c r="AE585" s="492"/>
      <c r="AF585" s="492"/>
      <c r="AG585" s="492"/>
      <c r="AH585" s="193"/>
    </row>
    <row r="586" spans="1:34" x14ac:dyDescent="0.25">
      <c r="A586" s="193"/>
      <c r="B586" s="490"/>
      <c r="C586" s="499" t="s">
        <v>271</v>
      </c>
      <c r="D586" s="490">
        <v>5</v>
      </c>
      <c r="E586" s="490">
        <v>0.625</v>
      </c>
      <c r="F586" s="490"/>
      <c r="G586" s="490"/>
      <c r="H586" s="490"/>
      <c r="I586" s="490">
        <v>2</v>
      </c>
      <c r="J586" s="490">
        <v>2</v>
      </c>
      <c r="K586" s="490">
        <v>30</v>
      </c>
      <c r="L586" s="490">
        <v>30</v>
      </c>
      <c r="M586" s="490"/>
      <c r="N586" s="490"/>
      <c r="O586" s="490"/>
      <c r="P586" s="490"/>
      <c r="Q586" s="490"/>
      <c r="R586" s="213"/>
      <c r="S586" s="498"/>
      <c r="T586" s="498"/>
      <c r="U586" s="214"/>
      <c r="V586" s="490">
        <f>SUM(R586:U590)</f>
        <v>5</v>
      </c>
      <c r="W586" s="490">
        <f>+SUM(K586:Q590)</f>
        <v>60</v>
      </c>
      <c r="X586" s="490">
        <f>(+I586*J586*W586)/12</f>
        <v>20</v>
      </c>
      <c r="Y586" s="490">
        <f t="shared" ref="Y586:AF586" si="105">IF(Y$4=$D586,$X586*Y$5,0)</f>
        <v>0</v>
      </c>
      <c r="Z586" s="490">
        <f t="shared" si="105"/>
        <v>0</v>
      </c>
      <c r="AA586" s="490">
        <f t="shared" si="105"/>
        <v>20.86</v>
      </c>
      <c r="AB586" s="490">
        <f t="shared" si="105"/>
        <v>0</v>
      </c>
      <c r="AC586" s="490">
        <f t="shared" si="105"/>
        <v>0</v>
      </c>
      <c r="AD586" s="490">
        <f t="shared" si="105"/>
        <v>0</v>
      </c>
      <c r="AE586" s="490">
        <f t="shared" si="105"/>
        <v>0</v>
      </c>
      <c r="AF586" s="490">
        <f t="shared" si="105"/>
        <v>0</v>
      </c>
      <c r="AG586" s="490"/>
      <c r="AH586" s="193"/>
    </row>
    <row r="587" spans="1:34" x14ac:dyDescent="0.25">
      <c r="A587" s="193"/>
      <c r="B587" s="491"/>
      <c r="C587" s="500"/>
      <c r="D587" s="491"/>
      <c r="E587" s="491"/>
      <c r="F587" s="491"/>
      <c r="G587" s="491"/>
      <c r="H587" s="491"/>
      <c r="I587" s="491"/>
      <c r="J587" s="491"/>
      <c r="K587" s="491"/>
      <c r="L587" s="491"/>
      <c r="M587" s="491"/>
      <c r="N587" s="491"/>
      <c r="O587" s="491"/>
      <c r="P587" s="491"/>
      <c r="Q587" s="491"/>
      <c r="R587" s="213"/>
      <c r="S587" s="215"/>
      <c r="T587" s="216"/>
      <c r="U587" s="214"/>
      <c r="V587" s="491"/>
      <c r="W587" s="491"/>
      <c r="X587" s="491"/>
      <c r="Y587" s="491"/>
      <c r="Z587" s="491"/>
      <c r="AA587" s="491"/>
      <c r="AB587" s="491"/>
      <c r="AC587" s="491"/>
      <c r="AD587" s="491"/>
      <c r="AE587" s="491"/>
      <c r="AF587" s="491"/>
      <c r="AG587" s="491"/>
      <c r="AH587" s="193"/>
    </row>
    <row r="588" spans="1:34" x14ac:dyDescent="0.25">
      <c r="A588" s="193"/>
      <c r="B588" s="491"/>
      <c r="C588" s="500"/>
      <c r="D588" s="491"/>
      <c r="E588" s="491"/>
      <c r="F588" s="491"/>
      <c r="G588" s="491"/>
      <c r="H588" s="491"/>
      <c r="I588" s="491"/>
      <c r="J588" s="491"/>
      <c r="K588" s="491"/>
      <c r="L588" s="491"/>
      <c r="M588" s="491"/>
      <c r="N588" s="491"/>
      <c r="O588" s="491"/>
      <c r="P588" s="491"/>
      <c r="Q588" s="491"/>
      <c r="R588" s="217">
        <f>K586/12</f>
        <v>2.5</v>
      </c>
      <c r="S588" s="223"/>
      <c r="T588" s="195"/>
      <c r="U588" s="219"/>
      <c r="V588" s="491"/>
      <c r="W588" s="491"/>
      <c r="X588" s="491"/>
      <c r="Y588" s="491"/>
      <c r="Z588" s="491"/>
      <c r="AA588" s="491"/>
      <c r="AB588" s="491"/>
      <c r="AC588" s="491"/>
      <c r="AD588" s="491"/>
      <c r="AE588" s="491"/>
      <c r="AF588" s="491"/>
      <c r="AG588" s="491"/>
      <c r="AH588" s="193"/>
    </row>
    <row r="589" spans="1:34" ht="15.75" thickBot="1" x14ac:dyDescent="0.3">
      <c r="A589" s="193"/>
      <c r="B589" s="491"/>
      <c r="C589" s="500"/>
      <c r="D589" s="491"/>
      <c r="E589" s="491"/>
      <c r="F589" s="491"/>
      <c r="G589" s="491"/>
      <c r="H589" s="491"/>
      <c r="I589" s="491"/>
      <c r="J589" s="491"/>
      <c r="K589" s="491"/>
      <c r="L589" s="491"/>
      <c r="M589" s="491"/>
      <c r="N589" s="491"/>
      <c r="O589" s="491"/>
      <c r="P589" s="491"/>
      <c r="Q589" s="491"/>
      <c r="R589" s="213"/>
      <c r="S589" s="224"/>
      <c r="T589" s="220"/>
      <c r="U589" s="214"/>
      <c r="V589" s="491"/>
      <c r="W589" s="491"/>
      <c r="X589" s="491"/>
      <c r="Y589" s="491"/>
      <c r="Z589" s="491"/>
      <c r="AA589" s="491"/>
      <c r="AB589" s="491"/>
      <c r="AC589" s="491"/>
      <c r="AD589" s="491"/>
      <c r="AE589" s="491"/>
      <c r="AF589" s="491"/>
      <c r="AG589" s="491"/>
      <c r="AH589" s="193"/>
    </row>
    <row r="590" spans="1:34" x14ac:dyDescent="0.25">
      <c r="A590" s="193"/>
      <c r="B590" s="492"/>
      <c r="C590" s="501"/>
      <c r="D590" s="492"/>
      <c r="E590" s="492"/>
      <c r="F590" s="492"/>
      <c r="G590" s="492"/>
      <c r="H590" s="492"/>
      <c r="I590" s="492"/>
      <c r="J590" s="492"/>
      <c r="K590" s="492"/>
      <c r="L590" s="492"/>
      <c r="M590" s="492"/>
      <c r="N590" s="492"/>
      <c r="O590" s="492"/>
      <c r="P590" s="492"/>
      <c r="Q590" s="492"/>
      <c r="R590" s="221"/>
      <c r="S590" s="493">
        <f>L586/12</f>
        <v>2.5</v>
      </c>
      <c r="T590" s="493"/>
      <c r="U590" s="222"/>
      <c r="V590" s="492"/>
      <c r="W590" s="492"/>
      <c r="X590" s="492"/>
      <c r="Y590" s="492"/>
      <c r="Z590" s="492"/>
      <c r="AA590" s="492"/>
      <c r="AB590" s="492"/>
      <c r="AC590" s="492"/>
      <c r="AD590" s="492"/>
      <c r="AE590" s="492"/>
      <c r="AF590" s="492"/>
      <c r="AG590" s="492"/>
      <c r="AH590" s="193"/>
    </row>
    <row r="591" spans="1:34" x14ac:dyDescent="0.25">
      <c r="A591" s="193"/>
      <c r="B591" s="490"/>
      <c r="C591" s="490" t="s">
        <v>277</v>
      </c>
      <c r="D591" s="490">
        <v>5</v>
      </c>
      <c r="E591" s="490">
        <v>0.625</v>
      </c>
      <c r="F591" s="494">
        <v>16</v>
      </c>
      <c r="G591" s="229"/>
      <c r="H591" s="490"/>
      <c r="I591" s="490">
        <f>ROUNDUP(G581/F591,0)</f>
        <v>11</v>
      </c>
      <c r="J591" s="490">
        <v>1</v>
      </c>
      <c r="K591" s="490">
        <v>6</v>
      </c>
      <c r="L591" s="490">
        <f>4*12-2</f>
        <v>46</v>
      </c>
      <c r="M591" s="490">
        <f>11*12</f>
        <v>132</v>
      </c>
      <c r="N591" s="490"/>
      <c r="O591" s="490"/>
      <c r="P591" s="490"/>
      <c r="Q591" s="490"/>
      <c r="R591" s="213"/>
      <c r="S591" s="498"/>
      <c r="T591" s="498"/>
      <c r="U591" s="214"/>
      <c r="V591" s="490">
        <f>SUM(R591:U595)</f>
        <v>15.333333333333334</v>
      </c>
      <c r="W591" s="490">
        <f>+SUM(K591:Q595)</f>
        <v>184</v>
      </c>
      <c r="X591" s="490">
        <f>(+I591*J591*W591)/12</f>
        <v>168.66666666666666</v>
      </c>
      <c r="Y591" s="490">
        <f t="shared" ref="Y591:AF591" si="106">IF(Y$4=$D591,$X591*Y$5,0)</f>
        <v>0</v>
      </c>
      <c r="Z591" s="490">
        <f t="shared" si="106"/>
        <v>0</v>
      </c>
      <c r="AA591" s="490">
        <f t="shared" si="106"/>
        <v>175.9193333333333</v>
      </c>
      <c r="AB591" s="490">
        <f t="shared" si="106"/>
        <v>0</v>
      </c>
      <c r="AC591" s="490">
        <f t="shared" si="106"/>
        <v>0</v>
      </c>
      <c r="AD591" s="490">
        <f t="shared" si="106"/>
        <v>0</v>
      </c>
      <c r="AE591" s="490">
        <f t="shared" si="106"/>
        <v>0</v>
      </c>
      <c r="AF591" s="490">
        <f t="shared" si="106"/>
        <v>0</v>
      </c>
      <c r="AG591" s="490"/>
      <c r="AH591" s="193"/>
    </row>
    <row r="592" spans="1:34" x14ac:dyDescent="0.25">
      <c r="A592" s="193"/>
      <c r="B592" s="491"/>
      <c r="C592" s="491"/>
      <c r="D592" s="491"/>
      <c r="E592" s="491"/>
      <c r="F592" s="495"/>
      <c r="G592" s="230"/>
      <c r="H592" s="491"/>
      <c r="I592" s="491"/>
      <c r="J592" s="491"/>
      <c r="K592" s="491"/>
      <c r="L592" s="491"/>
      <c r="M592" s="491"/>
      <c r="N592" s="491"/>
      <c r="O592" s="491"/>
      <c r="P592" s="491"/>
      <c r="Q592" s="491"/>
      <c r="R592" s="213"/>
      <c r="S592" s="215"/>
      <c r="T592" s="216"/>
      <c r="U592" s="214"/>
      <c r="V592" s="491"/>
      <c r="W592" s="491"/>
      <c r="X592" s="491"/>
      <c r="Y592" s="491"/>
      <c r="Z592" s="491"/>
      <c r="AA592" s="491"/>
      <c r="AB592" s="491"/>
      <c r="AC592" s="491"/>
      <c r="AD592" s="491"/>
      <c r="AE592" s="491"/>
      <c r="AF592" s="491"/>
      <c r="AG592" s="491"/>
      <c r="AH592" s="193"/>
    </row>
    <row r="593" spans="1:34" x14ac:dyDescent="0.25">
      <c r="A593" s="193"/>
      <c r="B593" s="491"/>
      <c r="C593" s="491"/>
      <c r="D593" s="491"/>
      <c r="E593" s="491"/>
      <c r="F593" s="495"/>
      <c r="G593" s="230"/>
      <c r="H593" s="491"/>
      <c r="I593" s="491"/>
      <c r="J593" s="491"/>
      <c r="K593" s="491"/>
      <c r="L593" s="491"/>
      <c r="M593" s="491"/>
      <c r="N593" s="491"/>
      <c r="O593" s="491"/>
      <c r="P593" s="491"/>
      <c r="Q593" s="491"/>
      <c r="R593" s="225">
        <f>K591/12</f>
        <v>0.5</v>
      </c>
      <c r="S593" s="218"/>
      <c r="T593" s="218"/>
      <c r="U593" s="219"/>
      <c r="V593" s="491"/>
      <c r="W593" s="491"/>
      <c r="X593" s="491"/>
      <c r="Y593" s="491"/>
      <c r="Z593" s="491"/>
      <c r="AA593" s="491"/>
      <c r="AB593" s="491"/>
      <c r="AC593" s="491"/>
      <c r="AD593" s="491"/>
      <c r="AE593" s="491"/>
      <c r="AF593" s="491"/>
      <c r="AG593" s="491"/>
      <c r="AH593" s="193"/>
    </row>
    <row r="594" spans="1:34" ht="15.75" thickBot="1" x14ac:dyDescent="0.3">
      <c r="A594" s="193"/>
      <c r="B594" s="491"/>
      <c r="C594" s="491"/>
      <c r="D594" s="491"/>
      <c r="E594" s="491"/>
      <c r="F594" s="495"/>
      <c r="G594" s="230"/>
      <c r="H594" s="491"/>
      <c r="I594" s="491"/>
      <c r="J594" s="491"/>
      <c r="K594" s="491"/>
      <c r="L594" s="491"/>
      <c r="M594" s="491"/>
      <c r="N594" s="491"/>
      <c r="O594" s="491"/>
      <c r="P594" s="491"/>
      <c r="Q594" s="491"/>
      <c r="R594" s="226"/>
      <c r="S594" s="220"/>
      <c r="T594" s="220"/>
      <c r="U594" s="214"/>
      <c r="V594" s="491"/>
      <c r="W594" s="491"/>
      <c r="X594" s="491"/>
      <c r="Y594" s="491"/>
      <c r="Z594" s="491"/>
      <c r="AA594" s="491"/>
      <c r="AB594" s="491"/>
      <c r="AC594" s="491"/>
      <c r="AD594" s="491"/>
      <c r="AE594" s="491"/>
      <c r="AF594" s="491"/>
      <c r="AG594" s="491"/>
      <c r="AH594" s="193"/>
    </row>
    <row r="595" spans="1:34" x14ac:dyDescent="0.25">
      <c r="A595" s="193"/>
      <c r="B595" s="492"/>
      <c r="C595" s="492"/>
      <c r="D595" s="491"/>
      <c r="E595" s="491"/>
      <c r="F595" s="496"/>
      <c r="G595" s="231"/>
      <c r="H595" s="492"/>
      <c r="I595" s="492"/>
      <c r="J595" s="492"/>
      <c r="K595" s="492"/>
      <c r="L595" s="492"/>
      <c r="M595" s="492"/>
      <c r="N595" s="492"/>
      <c r="O595" s="492"/>
      <c r="P595" s="492"/>
      <c r="Q595" s="492"/>
      <c r="R595" s="221"/>
      <c r="S595" s="493">
        <f>+SUM(L591:M595)/12</f>
        <v>14.833333333333334</v>
      </c>
      <c r="T595" s="493"/>
      <c r="U595" s="222"/>
      <c r="V595" s="492"/>
      <c r="W595" s="492"/>
      <c r="X595" s="492"/>
      <c r="Y595" s="492"/>
      <c r="Z595" s="492"/>
      <c r="AA595" s="492"/>
      <c r="AB595" s="492"/>
      <c r="AC595" s="492"/>
      <c r="AD595" s="492"/>
      <c r="AE595" s="492"/>
      <c r="AF595" s="492"/>
      <c r="AG595" s="492"/>
      <c r="AH595" s="193"/>
    </row>
    <row r="596" spans="1:34" x14ac:dyDescent="0.25">
      <c r="A596" s="193"/>
      <c r="B596" s="490"/>
      <c r="C596" s="490" t="s">
        <v>286</v>
      </c>
      <c r="D596" s="490">
        <v>5</v>
      </c>
      <c r="E596" s="490">
        <v>0.625</v>
      </c>
      <c r="F596" s="494">
        <v>16</v>
      </c>
      <c r="G596" s="229"/>
      <c r="H596" s="490"/>
      <c r="I596" s="490">
        <f>ROUNDUP(M591/F596,0)</f>
        <v>9</v>
      </c>
      <c r="J596" s="490">
        <v>1</v>
      </c>
      <c r="K596" s="490"/>
      <c r="L596" s="490">
        <f>G579-2-2</f>
        <v>171.68</v>
      </c>
      <c r="M596" s="490"/>
      <c r="N596" s="490"/>
      <c r="O596" s="490"/>
      <c r="P596" s="490"/>
      <c r="Q596" s="490"/>
      <c r="R596" s="213"/>
      <c r="S596" s="498"/>
      <c r="T596" s="498"/>
      <c r="U596" s="214"/>
      <c r="V596" s="490">
        <f>SUM(R596:U600)</f>
        <v>14.306666666666667</v>
      </c>
      <c r="W596" s="490">
        <f>+SUM(K596:Q600)</f>
        <v>171.68</v>
      </c>
      <c r="X596" s="490">
        <f>(+I596*J596*W596)/12</f>
        <v>128.76000000000002</v>
      </c>
      <c r="Y596" s="490">
        <f t="shared" ref="Y596:AF596" si="107">IF(Y$4=$D596,$X596*Y$5,0)</f>
        <v>0</v>
      </c>
      <c r="Z596" s="490">
        <f t="shared" si="107"/>
        <v>0</v>
      </c>
      <c r="AA596" s="490">
        <f t="shared" si="107"/>
        <v>134.29668000000001</v>
      </c>
      <c r="AB596" s="490">
        <f t="shared" si="107"/>
        <v>0</v>
      </c>
      <c r="AC596" s="490">
        <f t="shared" si="107"/>
        <v>0</v>
      </c>
      <c r="AD596" s="490">
        <f t="shared" si="107"/>
        <v>0</v>
      </c>
      <c r="AE596" s="490">
        <f t="shared" si="107"/>
        <v>0</v>
      </c>
      <c r="AF596" s="490">
        <f t="shared" si="107"/>
        <v>0</v>
      </c>
      <c r="AG596" s="490"/>
      <c r="AH596" s="193"/>
    </row>
    <row r="597" spans="1:34" x14ac:dyDescent="0.25">
      <c r="A597" s="193"/>
      <c r="B597" s="491"/>
      <c r="C597" s="491"/>
      <c r="D597" s="491"/>
      <c r="E597" s="491"/>
      <c r="F597" s="495"/>
      <c r="G597" s="230"/>
      <c r="H597" s="491"/>
      <c r="I597" s="491"/>
      <c r="J597" s="491"/>
      <c r="K597" s="491"/>
      <c r="L597" s="491"/>
      <c r="M597" s="491"/>
      <c r="N597" s="491"/>
      <c r="O597" s="491"/>
      <c r="P597" s="491"/>
      <c r="Q597" s="491"/>
      <c r="R597" s="213"/>
      <c r="S597" s="215"/>
      <c r="T597" s="216"/>
      <c r="U597" s="214"/>
      <c r="V597" s="491"/>
      <c r="W597" s="491"/>
      <c r="X597" s="491"/>
      <c r="Y597" s="491"/>
      <c r="Z597" s="491"/>
      <c r="AA597" s="491"/>
      <c r="AB597" s="491"/>
      <c r="AC597" s="491"/>
      <c r="AD597" s="491"/>
      <c r="AE597" s="491"/>
      <c r="AF597" s="491"/>
      <c r="AG597" s="491"/>
      <c r="AH597" s="193"/>
    </row>
    <row r="598" spans="1:34" x14ac:dyDescent="0.25">
      <c r="A598" s="193"/>
      <c r="B598" s="491"/>
      <c r="C598" s="491"/>
      <c r="D598" s="491"/>
      <c r="E598" s="491"/>
      <c r="F598" s="495"/>
      <c r="G598" s="230"/>
      <c r="H598" s="491"/>
      <c r="I598" s="491"/>
      <c r="J598" s="491"/>
      <c r="K598" s="491"/>
      <c r="L598" s="491"/>
      <c r="M598" s="491"/>
      <c r="N598" s="491"/>
      <c r="O598" s="491"/>
      <c r="P598" s="491"/>
      <c r="Q598" s="497"/>
      <c r="R598" s="217"/>
      <c r="S598" s="218"/>
      <c r="T598" s="218"/>
      <c r="U598" s="219"/>
      <c r="V598" s="491"/>
      <c r="W598" s="491"/>
      <c r="X598" s="491"/>
      <c r="Y598" s="491"/>
      <c r="Z598" s="491"/>
      <c r="AA598" s="491"/>
      <c r="AB598" s="491"/>
      <c r="AC598" s="491"/>
      <c r="AD598" s="491"/>
      <c r="AE598" s="491"/>
      <c r="AF598" s="491"/>
      <c r="AG598" s="491"/>
      <c r="AH598" s="193"/>
    </row>
    <row r="599" spans="1:34" ht="15.75" thickBot="1" x14ac:dyDescent="0.3">
      <c r="A599" s="193"/>
      <c r="B599" s="491"/>
      <c r="C599" s="491"/>
      <c r="D599" s="491"/>
      <c r="E599" s="491"/>
      <c r="F599" s="495"/>
      <c r="G599" s="230"/>
      <c r="H599" s="491"/>
      <c r="I599" s="491"/>
      <c r="J599" s="491"/>
      <c r="K599" s="491"/>
      <c r="L599" s="491"/>
      <c r="M599" s="491"/>
      <c r="N599" s="491"/>
      <c r="O599" s="491"/>
      <c r="P599" s="491"/>
      <c r="Q599" s="497"/>
      <c r="R599" s="213"/>
      <c r="S599" s="220"/>
      <c r="T599" s="220"/>
      <c r="U599" s="214"/>
      <c r="V599" s="491"/>
      <c r="W599" s="491"/>
      <c r="X599" s="491"/>
      <c r="Y599" s="491"/>
      <c r="Z599" s="491"/>
      <c r="AA599" s="491"/>
      <c r="AB599" s="491"/>
      <c r="AC599" s="491"/>
      <c r="AD599" s="491"/>
      <c r="AE599" s="491"/>
      <c r="AF599" s="491"/>
      <c r="AG599" s="491"/>
      <c r="AH599" s="193"/>
    </row>
    <row r="600" spans="1:34" x14ac:dyDescent="0.25">
      <c r="A600" s="193"/>
      <c r="B600" s="492"/>
      <c r="C600" s="492"/>
      <c r="D600" s="491"/>
      <c r="E600" s="491"/>
      <c r="F600" s="496"/>
      <c r="G600" s="231"/>
      <c r="H600" s="492"/>
      <c r="I600" s="492"/>
      <c r="J600" s="492"/>
      <c r="K600" s="492"/>
      <c r="L600" s="492"/>
      <c r="M600" s="492"/>
      <c r="N600" s="492"/>
      <c r="O600" s="492"/>
      <c r="P600" s="492"/>
      <c r="Q600" s="492"/>
      <c r="R600" s="221"/>
      <c r="S600" s="493">
        <f>L596/12</f>
        <v>14.306666666666667</v>
      </c>
      <c r="T600" s="493"/>
      <c r="U600" s="222"/>
      <c r="V600" s="492"/>
      <c r="W600" s="492"/>
      <c r="X600" s="492"/>
      <c r="Y600" s="492"/>
      <c r="Z600" s="492"/>
      <c r="AA600" s="492"/>
      <c r="AB600" s="492"/>
      <c r="AC600" s="492"/>
      <c r="AD600" s="492"/>
      <c r="AE600" s="492"/>
      <c r="AF600" s="492"/>
      <c r="AG600" s="492"/>
      <c r="AH600" s="193"/>
    </row>
    <row r="601" spans="1:34" ht="15.75" thickBot="1" x14ac:dyDescent="0.3">
      <c r="A601" s="195"/>
      <c r="B601" s="200" t="s">
        <v>312</v>
      </c>
      <c r="C601" s="199" t="s">
        <v>313</v>
      </c>
      <c r="D601" s="197">
        <v>60</v>
      </c>
      <c r="E601" s="201">
        <v>8</v>
      </c>
      <c r="F601" s="202"/>
      <c r="G601" s="202">
        <f>32*12</f>
        <v>384</v>
      </c>
      <c r="H601" s="202">
        <v>32</v>
      </c>
      <c r="I601" s="202">
        <v>16</v>
      </c>
      <c r="J601" s="202">
        <v>12</v>
      </c>
      <c r="K601" s="199"/>
      <c r="L601" s="199"/>
      <c r="M601" s="199"/>
      <c r="N601" s="199"/>
      <c r="O601" s="199"/>
      <c r="P601" s="199"/>
      <c r="Q601" s="198"/>
      <c r="R601" s="196"/>
      <c r="S601" s="196"/>
      <c r="T601" s="196"/>
      <c r="U601" s="196"/>
      <c r="V601" s="203"/>
      <c r="W601" s="202"/>
      <c r="X601" s="202"/>
      <c r="Y601" s="199"/>
      <c r="Z601" s="199"/>
      <c r="AA601" s="199"/>
      <c r="AB601" s="199"/>
      <c r="AC601" s="199"/>
      <c r="AD601" s="199"/>
      <c r="AE601" s="199"/>
      <c r="AF601" s="199"/>
      <c r="AG601" s="199"/>
      <c r="AH601" s="195"/>
    </row>
    <row r="602" spans="1:34" ht="15.75" thickBot="1" x14ac:dyDescent="0.3">
      <c r="A602" s="193"/>
      <c r="B602" s="204"/>
      <c r="C602" s="205"/>
      <c r="D602" s="194"/>
      <c r="E602" s="206"/>
      <c r="F602" s="205"/>
      <c r="G602" s="205"/>
      <c r="H602" s="207">
        <v>3</v>
      </c>
      <c r="I602" s="207">
        <v>2</v>
      </c>
      <c r="J602" s="205"/>
      <c r="K602" s="205"/>
      <c r="L602" s="205"/>
      <c r="M602" s="205"/>
      <c r="N602" s="205"/>
      <c r="O602" s="205"/>
      <c r="P602" s="205"/>
      <c r="Q602" s="208"/>
      <c r="R602" s="209"/>
      <c r="S602" s="210"/>
      <c r="T602" s="210"/>
      <c r="U602" s="211"/>
      <c r="V602" s="212"/>
      <c r="W602" s="204"/>
      <c r="X602" s="204"/>
      <c r="Y602" s="205"/>
      <c r="Z602" s="205"/>
      <c r="AA602" s="205"/>
      <c r="AB602" s="205"/>
      <c r="AC602" s="205"/>
      <c r="AD602" s="205"/>
      <c r="AE602" s="205"/>
      <c r="AF602" s="205"/>
      <c r="AG602" s="205"/>
      <c r="AH602" s="193"/>
    </row>
    <row r="603" spans="1:34" x14ac:dyDescent="0.25">
      <c r="A603" s="193"/>
      <c r="B603" s="490"/>
      <c r="C603" s="499" t="s">
        <v>265</v>
      </c>
      <c r="D603" s="490">
        <v>5</v>
      </c>
      <c r="E603" s="490">
        <v>0.625</v>
      </c>
      <c r="F603" s="490"/>
      <c r="G603" s="490">
        <f>G601</f>
        <v>384</v>
      </c>
      <c r="H603" s="490"/>
      <c r="I603" s="490">
        <v>2</v>
      </c>
      <c r="J603" s="490">
        <v>1</v>
      </c>
      <c r="K603" s="490"/>
      <c r="L603" s="490">
        <f>G601-2-2</f>
        <v>380</v>
      </c>
      <c r="M603" s="490"/>
      <c r="N603" s="490"/>
      <c r="O603" s="490"/>
      <c r="P603" s="490"/>
      <c r="Q603" s="490"/>
      <c r="R603" s="213"/>
      <c r="S603" s="502"/>
      <c r="T603" s="502"/>
      <c r="U603" s="214"/>
      <c r="V603" s="490">
        <f>SUM(R603:U607)</f>
        <v>31.666666666666668</v>
      </c>
      <c r="W603" s="490">
        <f>+SUM(K603:Q607)</f>
        <v>380</v>
      </c>
      <c r="X603" s="490">
        <f>(+I603*J603*W603)/12</f>
        <v>63.333333333333336</v>
      </c>
      <c r="Y603" s="490">
        <f>IF(Y$4=$D603,$X603*Y$5,0)</f>
        <v>0</v>
      </c>
      <c r="Z603" s="490">
        <f t="shared" ref="Z603:AF603" si="108">IF(Z$4=$D603,$X603*Z$5,0)</f>
        <v>0</v>
      </c>
      <c r="AA603" s="490">
        <f t="shared" si="108"/>
        <v>66.056666666666658</v>
      </c>
      <c r="AB603" s="490">
        <f t="shared" si="108"/>
        <v>0</v>
      </c>
      <c r="AC603" s="490">
        <f t="shared" si="108"/>
        <v>0</v>
      </c>
      <c r="AD603" s="490">
        <f t="shared" si="108"/>
        <v>0</v>
      </c>
      <c r="AE603" s="490">
        <f t="shared" si="108"/>
        <v>0</v>
      </c>
      <c r="AF603" s="490">
        <f t="shared" si="108"/>
        <v>0</v>
      </c>
      <c r="AG603" s="490"/>
      <c r="AH603" s="193"/>
    </row>
    <row r="604" spans="1:34" x14ac:dyDescent="0.25">
      <c r="A604" s="193"/>
      <c r="B604" s="491"/>
      <c r="C604" s="500"/>
      <c r="D604" s="491"/>
      <c r="E604" s="491"/>
      <c r="F604" s="491"/>
      <c r="G604" s="491"/>
      <c r="H604" s="491"/>
      <c r="I604" s="491"/>
      <c r="J604" s="491"/>
      <c r="K604" s="491"/>
      <c r="L604" s="491"/>
      <c r="M604" s="491"/>
      <c r="N604" s="491"/>
      <c r="O604" s="491"/>
      <c r="P604" s="491"/>
      <c r="Q604" s="491"/>
      <c r="R604" s="213"/>
      <c r="S604" s="215"/>
      <c r="T604" s="216"/>
      <c r="U604" s="214"/>
      <c r="V604" s="491"/>
      <c r="W604" s="491"/>
      <c r="X604" s="491"/>
      <c r="Y604" s="491"/>
      <c r="Z604" s="491"/>
      <c r="AA604" s="491"/>
      <c r="AB604" s="491"/>
      <c r="AC604" s="491"/>
      <c r="AD604" s="491"/>
      <c r="AE604" s="491"/>
      <c r="AF604" s="491"/>
      <c r="AG604" s="491"/>
      <c r="AH604" s="193"/>
    </row>
    <row r="605" spans="1:34" x14ac:dyDescent="0.25">
      <c r="A605" s="193"/>
      <c r="B605" s="491"/>
      <c r="C605" s="500"/>
      <c r="D605" s="491"/>
      <c r="E605" s="491"/>
      <c r="F605" s="491"/>
      <c r="G605" s="491"/>
      <c r="H605" s="491"/>
      <c r="I605" s="491"/>
      <c r="J605" s="491"/>
      <c r="K605" s="491"/>
      <c r="L605" s="491"/>
      <c r="M605" s="491"/>
      <c r="N605" s="491"/>
      <c r="O605" s="491"/>
      <c r="P605" s="491"/>
      <c r="Q605" s="491"/>
      <c r="R605" s="217"/>
      <c r="S605" s="218"/>
      <c r="T605" s="218"/>
      <c r="U605" s="219"/>
      <c r="V605" s="491"/>
      <c r="W605" s="491"/>
      <c r="X605" s="491"/>
      <c r="Y605" s="491"/>
      <c r="Z605" s="491"/>
      <c r="AA605" s="491"/>
      <c r="AB605" s="491"/>
      <c r="AC605" s="491"/>
      <c r="AD605" s="491"/>
      <c r="AE605" s="491"/>
      <c r="AF605" s="491"/>
      <c r="AG605" s="491"/>
      <c r="AH605" s="193"/>
    </row>
    <row r="606" spans="1:34" ht="15.75" thickBot="1" x14ac:dyDescent="0.3">
      <c r="A606" s="193"/>
      <c r="B606" s="491"/>
      <c r="C606" s="500"/>
      <c r="D606" s="491"/>
      <c r="E606" s="491"/>
      <c r="F606" s="491"/>
      <c r="G606" s="491"/>
      <c r="H606" s="491"/>
      <c r="I606" s="491"/>
      <c r="J606" s="491"/>
      <c r="K606" s="491"/>
      <c r="L606" s="491"/>
      <c r="M606" s="491"/>
      <c r="N606" s="491"/>
      <c r="O606" s="491"/>
      <c r="P606" s="491"/>
      <c r="Q606" s="491"/>
      <c r="R606" s="213"/>
      <c r="S606" s="220"/>
      <c r="T606" s="220"/>
      <c r="U606" s="214"/>
      <c r="V606" s="491"/>
      <c r="W606" s="491"/>
      <c r="X606" s="491"/>
      <c r="Y606" s="491"/>
      <c r="Z606" s="491"/>
      <c r="AA606" s="491"/>
      <c r="AB606" s="491"/>
      <c r="AC606" s="491"/>
      <c r="AD606" s="491"/>
      <c r="AE606" s="491"/>
      <c r="AF606" s="491"/>
      <c r="AG606" s="491"/>
      <c r="AH606" s="193"/>
    </row>
    <row r="607" spans="1:34" x14ac:dyDescent="0.25">
      <c r="A607" s="193"/>
      <c r="B607" s="492"/>
      <c r="C607" s="501"/>
      <c r="D607" s="492"/>
      <c r="E607" s="492"/>
      <c r="F607" s="492"/>
      <c r="G607" s="492"/>
      <c r="H607" s="492"/>
      <c r="I607" s="492"/>
      <c r="J607" s="492"/>
      <c r="K607" s="492"/>
      <c r="L607" s="492"/>
      <c r="M607" s="492"/>
      <c r="N607" s="492"/>
      <c r="O607" s="492"/>
      <c r="P607" s="492"/>
      <c r="Q607" s="492"/>
      <c r="R607" s="221"/>
      <c r="S607" s="493">
        <f>L603/12</f>
        <v>31.666666666666668</v>
      </c>
      <c r="T607" s="493"/>
      <c r="U607" s="222"/>
      <c r="V607" s="492"/>
      <c r="W607" s="492"/>
      <c r="X607" s="492"/>
      <c r="Y607" s="492"/>
      <c r="Z607" s="492"/>
      <c r="AA607" s="492"/>
      <c r="AB607" s="492"/>
      <c r="AC607" s="492"/>
      <c r="AD607" s="492"/>
      <c r="AE607" s="492"/>
      <c r="AF607" s="492"/>
      <c r="AG607" s="492"/>
      <c r="AH607" s="193"/>
    </row>
    <row r="608" spans="1:34" x14ac:dyDescent="0.25">
      <c r="A608" s="193"/>
      <c r="B608" s="490"/>
      <c r="C608" s="499" t="s">
        <v>271</v>
      </c>
      <c r="D608" s="490">
        <v>5</v>
      </c>
      <c r="E608" s="490">
        <v>0.625</v>
      </c>
      <c r="F608" s="490"/>
      <c r="G608" s="490"/>
      <c r="H608" s="490"/>
      <c r="I608" s="490">
        <v>2</v>
      </c>
      <c r="J608" s="490">
        <v>2</v>
      </c>
      <c r="K608" s="490">
        <v>30</v>
      </c>
      <c r="L608" s="490">
        <v>30</v>
      </c>
      <c r="M608" s="490"/>
      <c r="N608" s="490"/>
      <c r="O608" s="490"/>
      <c r="P608" s="490"/>
      <c r="Q608" s="490"/>
      <c r="R608" s="213"/>
      <c r="S608" s="498"/>
      <c r="T608" s="498"/>
      <c r="U608" s="214"/>
      <c r="V608" s="490">
        <f>SUM(R608:U612)</f>
        <v>5</v>
      </c>
      <c r="W608" s="490">
        <f>+SUM(K608:Q612)</f>
        <v>60</v>
      </c>
      <c r="X608" s="490">
        <f>(+I608*J608*W608)/12</f>
        <v>20</v>
      </c>
      <c r="Y608" s="490">
        <f t="shared" ref="Y608:AF608" si="109">IF(Y$4=$D608,$X608*Y$5,0)</f>
        <v>0</v>
      </c>
      <c r="Z608" s="490">
        <f t="shared" si="109"/>
        <v>0</v>
      </c>
      <c r="AA608" s="490">
        <f t="shared" si="109"/>
        <v>20.86</v>
      </c>
      <c r="AB608" s="490">
        <f t="shared" si="109"/>
        <v>0</v>
      </c>
      <c r="AC608" s="490">
        <f t="shared" si="109"/>
        <v>0</v>
      </c>
      <c r="AD608" s="490">
        <f t="shared" si="109"/>
        <v>0</v>
      </c>
      <c r="AE608" s="490">
        <f t="shared" si="109"/>
        <v>0</v>
      </c>
      <c r="AF608" s="490">
        <f t="shared" si="109"/>
        <v>0</v>
      </c>
      <c r="AG608" s="490"/>
      <c r="AH608" s="193"/>
    </row>
    <row r="609" spans="1:34" x14ac:dyDescent="0.25">
      <c r="A609" s="193"/>
      <c r="B609" s="491"/>
      <c r="C609" s="500"/>
      <c r="D609" s="491"/>
      <c r="E609" s="491"/>
      <c r="F609" s="491"/>
      <c r="G609" s="491"/>
      <c r="H609" s="491"/>
      <c r="I609" s="491"/>
      <c r="J609" s="491"/>
      <c r="K609" s="491"/>
      <c r="L609" s="491"/>
      <c r="M609" s="491"/>
      <c r="N609" s="491"/>
      <c r="O609" s="491"/>
      <c r="P609" s="491"/>
      <c r="Q609" s="491"/>
      <c r="R609" s="213"/>
      <c r="S609" s="215"/>
      <c r="T609" s="216"/>
      <c r="U609" s="214"/>
      <c r="V609" s="491"/>
      <c r="W609" s="491"/>
      <c r="X609" s="491"/>
      <c r="Y609" s="491"/>
      <c r="Z609" s="491"/>
      <c r="AA609" s="491"/>
      <c r="AB609" s="491"/>
      <c r="AC609" s="491"/>
      <c r="AD609" s="491"/>
      <c r="AE609" s="491"/>
      <c r="AF609" s="491"/>
      <c r="AG609" s="491"/>
      <c r="AH609" s="193"/>
    </row>
    <row r="610" spans="1:34" x14ac:dyDescent="0.25">
      <c r="A610" s="193"/>
      <c r="B610" s="491"/>
      <c r="C610" s="500"/>
      <c r="D610" s="491"/>
      <c r="E610" s="491"/>
      <c r="F610" s="491"/>
      <c r="G610" s="491"/>
      <c r="H610" s="491"/>
      <c r="I610" s="491"/>
      <c r="J610" s="491"/>
      <c r="K610" s="491"/>
      <c r="L610" s="491"/>
      <c r="M610" s="491"/>
      <c r="N610" s="491"/>
      <c r="O610" s="491"/>
      <c r="P610" s="491"/>
      <c r="Q610" s="491"/>
      <c r="R610" s="217">
        <f>K608/12</f>
        <v>2.5</v>
      </c>
      <c r="S610" s="223"/>
      <c r="T610" s="195"/>
      <c r="U610" s="219"/>
      <c r="V610" s="491"/>
      <c r="W610" s="491"/>
      <c r="X610" s="491"/>
      <c r="Y610" s="491"/>
      <c r="Z610" s="491"/>
      <c r="AA610" s="491"/>
      <c r="AB610" s="491"/>
      <c r="AC610" s="491"/>
      <c r="AD610" s="491"/>
      <c r="AE610" s="491"/>
      <c r="AF610" s="491"/>
      <c r="AG610" s="491"/>
      <c r="AH610" s="193"/>
    </row>
    <row r="611" spans="1:34" ht="15.75" thickBot="1" x14ac:dyDescent="0.3">
      <c r="A611" s="193"/>
      <c r="B611" s="491"/>
      <c r="C611" s="500"/>
      <c r="D611" s="491"/>
      <c r="E611" s="491"/>
      <c r="F611" s="491"/>
      <c r="G611" s="491"/>
      <c r="H611" s="491"/>
      <c r="I611" s="491"/>
      <c r="J611" s="491"/>
      <c r="K611" s="491"/>
      <c r="L611" s="491"/>
      <c r="M611" s="491"/>
      <c r="N611" s="491"/>
      <c r="O611" s="491"/>
      <c r="P611" s="491"/>
      <c r="Q611" s="491"/>
      <c r="R611" s="213"/>
      <c r="S611" s="224"/>
      <c r="T611" s="220"/>
      <c r="U611" s="214"/>
      <c r="V611" s="491"/>
      <c r="W611" s="491"/>
      <c r="X611" s="491"/>
      <c r="Y611" s="491"/>
      <c r="Z611" s="491"/>
      <c r="AA611" s="491"/>
      <c r="AB611" s="491"/>
      <c r="AC611" s="491"/>
      <c r="AD611" s="491"/>
      <c r="AE611" s="491"/>
      <c r="AF611" s="491"/>
      <c r="AG611" s="491"/>
      <c r="AH611" s="193"/>
    </row>
    <row r="612" spans="1:34" x14ac:dyDescent="0.25">
      <c r="A612" s="193"/>
      <c r="B612" s="492"/>
      <c r="C612" s="501"/>
      <c r="D612" s="492"/>
      <c r="E612" s="492"/>
      <c r="F612" s="492"/>
      <c r="G612" s="492"/>
      <c r="H612" s="492"/>
      <c r="I612" s="492"/>
      <c r="J612" s="492"/>
      <c r="K612" s="492"/>
      <c r="L612" s="492"/>
      <c r="M612" s="492"/>
      <c r="N612" s="492"/>
      <c r="O612" s="492"/>
      <c r="P612" s="492"/>
      <c r="Q612" s="492"/>
      <c r="R612" s="221"/>
      <c r="S612" s="493">
        <f>L608/12</f>
        <v>2.5</v>
      </c>
      <c r="T612" s="493"/>
      <c r="U612" s="222"/>
      <c r="V612" s="492"/>
      <c r="W612" s="492"/>
      <c r="X612" s="492"/>
      <c r="Y612" s="492"/>
      <c r="Z612" s="492"/>
      <c r="AA612" s="492"/>
      <c r="AB612" s="492"/>
      <c r="AC612" s="492"/>
      <c r="AD612" s="492"/>
      <c r="AE612" s="492"/>
      <c r="AF612" s="492"/>
      <c r="AG612" s="492"/>
      <c r="AH612" s="193"/>
    </row>
    <row r="613" spans="1:34" x14ac:dyDescent="0.25">
      <c r="A613" s="193"/>
      <c r="B613" s="490"/>
      <c r="C613" s="490" t="s">
        <v>277</v>
      </c>
      <c r="D613" s="490">
        <v>5</v>
      </c>
      <c r="E613" s="490">
        <v>0.625</v>
      </c>
      <c r="F613" s="494">
        <v>16</v>
      </c>
      <c r="G613" s="229"/>
      <c r="H613" s="490"/>
      <c r="I613" s="490">
        <f>ROUNDUP(G603/F613,0)</f>
        <v>24</v>
      </c>
      <c r="J613" s="490">
        <v>1</v>
      </c>
      <c r="K613" s="490">
        <v>6</v>
      </c>
      <c r="L613" s="490">
        <f>4*12-2</f>
        <v>46</v>
      </c>
      <c r="M613" s="490">
        <f>11*12</f>
        <v>132</v>
      </c>
      <c r="N613" s="490"/>
      <c r="O613" s="490"/>
      <c r="P613" s="490"/>
      <c r="Q613" s="490"/>
      <c r="R613" s="213"/>
      <c r="S613" s="498"/>
      <c r="T613" s="498"/>
      <c r="U613" s="214"/>
      <c r="V613" s="490">
        <f>SUM(R613:U617)</f>
        <v>15.333333333333334</v>
      </c>
      <c r="W613" s="490">
        <f>+SUM(K613:Q617)</f>
        <v>184</v>
      </c>
      <c r="X613" s="490">
        <f>(+I613*J613*W613)/12</f>
        <v>368</v>
      </c>
      <c r="Y613" s="490">
        <f t="shared" ref="Y613:AF613" si="110">IF(Y$4=$D613,$X613*Y$5,0)</f>
        <v>0</v>
      </c>
      <c r="Z613" s="490">
        <f t="shared" si="110"/>
        <v>0</v>
      </c>
      <c r="AA613" s="490">
        <f t="shared" si="110"/>
        <v>383.82399999999996</v>
      </c>
      <c r="AB613" s="490">
        <f t="shared" si="110"/>
        <v>0</v>
      </c>
      <c r="AC613" s="490">
        <f t="shared" si="110"/>
        <v>0</v>
      </c>
      <c r="AD613" s="490">
        <f t="shared" si="110"/>
        <v>0</v>
      </c>
      <c r="AE613" s="490">
        <f t="shared" si="110"/>
        <v>0</v>
      </c>
      <c r="AF613" s="490">
        <f t="shared" si="110"/>
        <v>0</v>
      </c>
      <c r="AG613" s="490"/>
      <c r="AH613" s="193"/>
    </row>
    <row r="614" spans="1:34" x14ac:dyDescent="0.25">
      <c r="A614" s="193"/>
      <c r="B614" s="491"/>
      <c r="C614" s="491"/>
      <c r="D614" s="491"/>
      <c r="E614" s="491"/>
      <c r="F614" s="495"/>
      <c r="G614" s="230"/>
      <c r="H614" s="491"/>
      <c r="I614" s="491"/>
      <c r="J614" s="491"/>
      <c r="K614" s="491"/>
      <c r="L614" s="491"/>
      <c r="M614" s="491"/>
      <c r="N614" s="491"/>
      <c r="O614" s="491"/>
      <c r="P614" s="491"/>
      <c r="Q614" s="491"/>
      <c r="R614" s="213"/>
      <c r="S614" s="215"/>
      <c r="T614" s="216"/>
      <c r="U614" s="214"/>
      <c r="V614" s="491"/>
      <c r="W614" s="491"/>
      <c r="X614" s="491"/>
      <c r="Y614" s="491"/>
      <c r="Z614" s="491"/>
      <c r="AA614" s="491"/>
      <c r="AB614" s="491"/>
      <c r="AC614" s="491"/>
      <c r="AD614" s="491"/>
      <c r="AE614" s="491"/>
      <c r="AF614" s="491"/>
      <c r="AG614" s="491"/>
      <c r="AH614" s="193"/>
    </row>
    <row r="615" spans="1:34" x14ac:dyDescent="0.25">
      <c r="A615" s="193"/>
      <c r="B615" s="491"/>
      <c r="C615" s="491"/>
      <c r="D615" s="491"/>
      <c r="E615" s="491"/>
      <c r="F615" s="495"/>
      <c r="G615" s="230"/>
      <c r="H615" s="491"/>
      <c r="I615" s="491"/>
      <c r="J615" s="491"/>
      <c r="K615" s="491"/>
      <c r="L615" s="491"/>
      <c r="M615" s="491"/>
      <c r="N615" s="491"/>
      <c r="O615" s="491"/>
      <c r="P615" s="491"/>
      <c r="Q615" s="491"/>
      <c r="R615" s="225">
        <f>K613/12</f>
        <v>0.5</v>
      </c>
      <c r="S615" s="218"/>
      <c r="T615" s="218"/>
      <c r="U615" s="219"/>
      <c r="V615" s="491"/>
      <c r="W615" s="491"/>
      <c r="X615" s="491"/>
      <c r="Y615" s="491"/>
      <c r="Z615" s="491"/>
      <c r="AA615" s="491"/>
      <c r="AB615" s="491"/>
      <c r="AC615" s="491"/>
      <c r="AD615" s="491"/>
      <c r="AE615" s="491"/>
      <c r="AF615" s="491"/>
      <c r="AG615" s="491"/>
      <c r="AH615" s="193"/>
    </row>
    <row r="616" spans="1:34" ht="15.75" thickBot="1" x14ac:dyDescent="0.3">
      <c r="A616" s="193"/>
      <c r="B616" s="491"/>
      <c r="C616" s="491"/>
      <c r="D616" s="491"/>
      <c r="E616" s="491"/>
      <c r="F616" s="495"/>
      <c r="G616" s="230"/>
      <c r="H616" s="491"/>
      <c r="I616" s="491"/>
      <c r="J616" s="491"/>
      <c r="K616" s="491"/>
      <c r="L616" s="491"/>
      <c r="M616" s="491"/>
      <c r="N616" s="491"/>
      <c r="O616" s="491"/>
      <c r="P616" s="491"/>
      <c r="Q616" s="491"/>
      <c r="R616" s="226"/>
      <c r="S616" s="220"/>
      <c r="T616" s="220"/>
      <c r="U616" s="214"/>
      <c r="V616" s="491"/>
      <c r="W616" s="491"/>
      <c r="X616" s="491"/>
      <c r="Y616" s="491"/>
      <c r="Z616" s="491"/>
      <c r="AA616" s="491"/>
      <c r="AB616" s="491"/>
      <c r="AC616" s="491"/>
      <c r="AD616" s="491"/>
      <c r="AE616" s="491"/>
      <c r="AF616" s="491"/>
      <c r="AG616" s="491"/>
      <c r="AH616" s="193"/>
    </row>
    <row r="617" spans="1:34" x14ac:dyDescent="0.25">
      <c r="A617" s="193"/>
      <c r="B617" s="492"/>
      <c r="C617" s="492"/>
      <c r="D617" s="491"/>
      <c r="E617" s="491"/>
      <c r="F617" s="496"/>
      <c r="G617" s="231"/>
      <c r="H617" s="492"/>
      <c r="I617" s="492"/>
      <c r="J617" s="492"/>
      <c r="K617" s="492"/>
      <c r="L617" s="492"/>
      <c r="M617" s="492"/>
      <c r="N617" s="492"/>
      <c r="O617" s="492"/>
      <c r="P617" s="492"/>
      <c r="Q617" s="492"/>
      <c r="R617" s="221"/>
      <c r="S617" s="493">
        <f>+SUM(L613:M617)/12</f>
        <v>14.833333333333334</v>
      </c>
      <c r="T617" s="493"/>
      <c r="U617" s="222"/>
      <c r="V617" s="492"/>
      <c r="W617" s="492"/>
      <c r="X617" s="492"/>
      <c r="Y617" s="492"/>
      <c r="Z617" s="492"/>
      <c r="AA617" s="492"/>
      <c r="AB617" s="492"/>
      <c r="AC617" s="492"/>
      <c r="AD617" s="492"/>
      <c r="AE617" s="492"/>
      <c r="AF617" s="492"/>
      <c r="AG617" s="492"/>
      <c r="AH617" s="193"/>
    </row>
    <row r="618" spans="1:34" x14ac:dyDescent="0.25">
      <c r="A618" s="193"/>
      <c r="B618" s="490"/>
      <c r="C618" s="490" t="s">
        <v>286</v>
      </c>
      <c r="D618" s="490">
        <v>5</v>
      </c>
      <c r="E618" s="490">
        <v>0.625</v>
      </c>
      <c r="F618" s="494">
        <v>16</v>
      </c>
      <c r="G618" s="229"/>
      <c r="H618" s="490"/>
      <c r="I618" s="490">
        <f>ROUNDUP(M613/F618,0)</f>
        <v>9</v>
      </c>
      <c r="J618" s="490">
        <v>1</v>
      </c>
      <c r="K618" s="490"/>
      <c r="L618" s="490">
        <f>G601-2-2</f>
        <v>380</v>
      </c>
      <c r="M618" s="490"/>
      <c r="N618" s="490"/>
      <c r="O618" s="490"/>
      <c r="P618" s="490"/>
      <c r="Q618" s="490"/>
      <c r="R618" s="213"/>
      <c r="S618" s="498"/>
      <c r="T618" s="498"/>
      <c r="U618" s="214"/>
      <c r="V618" s="490">
        <f>SUM(R618:U622)</f>
        <v>31.666666666666668</v>
      </c>
      <c r="W618" s="490">
        <f>+SUM(K618:Q622)</f>
        <v>380</v>
      </c>
      <c r="X618" s="490">
        <f>(+I618*J618*W618)/12</f>
        <v>285</v>
      </c>
      <c r="Y618" s="490">
        <f t="shared" ref="Y618:AF618" si="111">IF(Y$4=$D618,$X618*Y$5,0)</f>
        <v>0</v>
      </c>
      <c r="Z618" s="490">
        <f t="shared" si="111"/>
        <v>0</v>
      </c>
      <c r="AA618" s="490">
        <f t="shared" si="111"/>
        <v>297.255</v>
      </c>
      <c r="AB618" s="490">
        <f t="shared" si="111"/>
        <v>0</v>
      </c>
      <c r="AC618" s="490">
        <f t="shared" si="111"/>
        <v>0</v>
      </c>
      <c r="AD618" s="490">
        <f t="shared" si="111"/>
        <v>0</v>
      </c>
      <c r="AE618" s="490">
        <f t="shared" si="111"/>
        <v>0</v>
      </c>
      <c r="AF618" s="490">
        <f t="shared" si="111"/>
        <v>0</v>
      </c>
      <c r="AG618" s="490"/>
      <c r="AH618" s="193"/>
    </row>
    <row r="619" spans="1:34" x14ac:dyDescent="0.25">
      <c r="A619" s="193"/>
      <c r="B619" s="491"/>
      <c r="C619" s="491"/>
      <c r="D619" s="491"/>
      <c r="E619" s="491"/>
      <c r="F619" s="495"/>
      <c r="G619" s="230"/>
      <c r="H619" s="491"/>
      <c r="I619" s="491"/>
      <c r="J619" s="491"/>
      <c r="K619" s="491"/>
      <c r="L619" s="491"/>
      <c r="M619" s="491"/>
      <c r="N619" s="491"/>
      <c r="O619" s="491"/>
      <c r="P619" s="491"/>
      <c r="Q619" s="491"/>
      <c r="R619" s="213"/>
      <c r="S619" s="215"/>
      <c r="T619" s="216"/>
      <c r="U619" s="214"/>
      <c r="V619" s="491"/>
      <c r="W619" s="491"/>
      <c r="X619" s="491"/>
      <c r="Y619" s="491"/>
      <c r="Z619" s="491"/>
      <c r="AA619" s="491"/>
      <c r="AB619" s="491"/>
      <c r="AC619" s="491"/>
      <c r="AD619" s="491"/>
      <c r="AE619" s="491"/>
      <c r="AF619" s="491"/>
      <c r="AG619" s="491"/>
      <c r="AH619" s="193"/>
    </row>
    <row r="620" spans="1:34" x14ac:dyDescent="0.25">
      <c r="A620" s="193"/>
      <c r="B620" s="491"/>
      <c r="C620" s="491"/>
      <c r="D620" s="491"/>
      <c r="E620" s="491"/>
      <c r="F620" s="495"/>
      <c r="G620" s="230"/>
      <c r="H620" s="491"/>
      <c r="I620" s="491"/>
      <c r="J620" s="491"/>
      <c r="K620" s="491"/>
      <c r="L620" s="491"/>
      <c r="M620" s="491"/>
      <c r="N620" s="491"/>
      <c r="O620" s="491"/>
      <c r="P620" s="491"/>
      <c r="Q620" s="497"/>
      <c r="R620" s="217"/>
      <c r="S620" s="218"/>
      <c r="T620" s="218"/>
      <c r="U620" s="219"/>
      <c r="V620" s="491"/>
      <c r="W620" s="491"/>
      <c r="X620" s="491"/>
      <c r="Y620" s="491"/>
      <c r="Z620" s="491"/>
      <c r="AA620" s="491"/>
      <c r="AB620" s="491"/>
      <c r="AC620" s="491"/>
      <c r="AD620" s="491"/>
      <c r="AE620" s="491"/>
      <c r="AF620" s="491"/>
      <c r="AG620" s="491"/>
      <c r="AH620" s="193"/>
    </row>
    <row r="621" spans="1:34" ht="15.75" thickBot="1" x14ac:dyDescent="0.3">
      <c r="A621" s="193"/>
      <c r="B621" s="491"/>
      <c r="C621" s="491"/>
      <c r="D621" s="491"/>
      <c r="E621" s="491"/>
      <c r="F621" s="495"/>
      <c r="G621" s="230"/>
      <c r="H621" s="491"/>
      <c r="I621" s="491"/>
      <c r="J621" s="491"/>
      <c r="K621" s="491"/>
      <c r="L621" s="491"/>
      <c r="M621" s="491"/>
      <c r="N621" s="491"/>
      <c r="O621" s="491"/>
      <c r="P621" s="491"/>
      <c r="Q621" s="497"/>
      <c r="R621" s="213"/>
      <c r="S621" s="220"/>
      <c r="T621" s="220"/>
      <c r="U621" s="214"/>
      <c r="V621" s="491"/>
      <c r="W621" s="491"/>
      <c r="X621" s="491"/>
      <c r="Y621" s="491"/>
      <c r="Z621" s="491"/>
      <c r="AA621" s="491"/>
      <c r="AB621" s="491"/>
      <c r="AC621" s="491"/>
      <c r="AD621" s="491"/>
      <c r="AE621" s="491"/>
      <c r="AF621" s="491"/>
      <c r="AG621" s="491"/>
      <c r="AH621" s="193"/>
    </row>
    <row r="622" spans="1:34" x14ac:dyDescent="0.25">
      <c r="A622" s="193"/>
      <c r="B622" s="492"/>
      <c r="C622" s="492"/>
      <c r="D622" s="491"/>
      <c r="E622" s="491"/>
      <c r="F622" s="496"/>
      <c r="G622" s="231"/>
      <c r="H622" s="492"/>
      <c r="I622" s="492"/>
      <c r="J622" s="492"/>
      <c r="K622" s="492"/>
      <c r="L622" s="492"/>
      <c r="M622" s="492"/>
      <c r="N622" s="492"/>
      <c r="O622" s="492"/>
      <c r="P622" s="492"/>
      <c r="Q622" s="492"/>
      <c r="R622" s="221"/>
      <c r="S622" s="493">
        <f>L618/12</f>
        <v>31.666666666666668</v>
      </c>
      <c r="T622" s="493"/>
      <c r="U622" s="222"/>
      <c r="V622" s="492"/>
      <c r="W622" s="492"/>
      <c r="X622" s="492"/>
      <c r="Y622" s="492"/>
      <c r="Z622" s="492"/>
      <c r="AA622" s="492"/>
      <c r="AB622" s="492"/>
      <c r="AC622" s="492"/>
      <c r="AD622" s="492"/>
      <c r="AE622" s="492"/>
      <c r="AF622" s="492"/>
      <c r="AG622" s="492"/>
      <c r="AH622" s="193"/>
    </row>
    <row r="623" spans="1:34" ht="15.75" thickBot="1" x14ac:dyDescent="0.3">
      <c r="A623" s="195"/>
      <c r="B623" s="200" t="s">
        <v>314</v>
      </c>
      <c r="C623" s="199" t="s">
        <v>313</v>
      </c>
      <c r="D623" s="197">
        <v>60</v>
      </c>
      <c r="E623" s="201">
        <v>8</v>
      </c>
      <c r="F623" s="202"/>
      <c r="G623" s="202">
        <f>32*12</f>
        <v>384</v>
      </c>
      <c r="H623" s="202">
        <v>32</v>
      </c>
      <c r="I623" s="202">
        <v>16</v>
      </c>
      <c r="J623" s="202">
        <v>12</v>
      </c>
      <c r="K623" s="199"/>
      <c r="L623" s="199"/>
      <c r="M623" s="199"/>
      <c r="N623" s="199"/>
      <c r="O623" s="199"/>
      <c r="P623" s="199"/>
      <c r="Q623" s="198"/>
      <c r="R623" s="196"/>
      <c r="S623" s="196"/>
      <c r="T623" s="196"/>
      <c r="U623" s="196"/>
      <c r="V623" s="203"/>
      <c r="W623" s="202"/>
      <c r="X623" s="202"/>
      <c r="Y623" s="199"/>
      <c r="Z623" s="199"/>
      <c r="AA623" s="199"/>
      <c r="AB623" s="199"/>
      <c r="AC623" s="199"/>
      <c r="AD623" s="199"/>
      <c r="AE623" s="199"/>
      <c r="AF623" s="199"/>
      <c r="AG623" s="199"/>
      <c r="AH623" s="195"/>
    </row>
    <row r="624" spans="1:34" ht="15.75" thickBot="1" x14ac:dyDescent="0.3">
      <c r="A624" s="193"/>
      <c r="B624" s="204"/>
      <c r="C624" s="205"/>
      <c r="D624" s="194"/>
      <c r="E624" s="206"/>
      <c r="F624" s="205"/>
      <c r="G624" s="205"/>
      <c r="H624" s="207">
        <v>3</v>
      </c>
      <c r="I624" s="207">
        <v>2</v>
      </c>
      <c r="J624" s="205"/>
      <c r="K624" s="205"/>
      <c r="L624" s="205"/>
      <c r="M624" s="205"/>
      <c r="N624" s="205"/>
      <c r="O624" s="205"/>
      <c r="P624" s="205"/>
      <c r="Q624" s="208"/>
      <c r="R624" s="209"/>
      <c r="S624" s="210"/>
      <c r="T624" s="210"/>
      <c r="U624" s="211"/>
      <c r="V624" s="212"/>
      <c r="W624" s="204"/>
      <c r="X624" s="204"/>
      <c r="Y624" s="205"/>
      <c r="Z624" s="205"/>
      <c r="AA624" s="205"/>
      <c r="AB624" s="205"/>
      <c r="AC624" s="205"/>
      <c r="AD624" s="205"/>
      <c r="AE624" s="205"/>
      <c r="AF624" s="205"/>
      <c r="AG624" s="205"/>
      <c r="AH624" s="193"/>
    </row>
    <row r="625" spans="1:34" x14ac:dyDescent="0.25">
      <c r="A625" s="193"/>
      <c r="B625" s="490"/>
      <c r="C625" s="499" t="s">
        <v>265</v>
      </c>
      <c r="D625" s="490">
        <v>5</v>
      </c>
      <c r="E625" s="490">
        <v>0.625</v>
      </c>
      <c r="F625" s="490"/>
      <c r="G625" s="490">
        <f>G623</f>
        <v>384</v>
      </c>
      <c r="H625" s="490"/>
      <c r="I625" s="490">
        <v>2</v>
      </c>
      <c r="J625" s="490">
        <v>1</v>
      </c>
      <c r="K625" s="490"/>
      <c r="L625" s="490">
        <f>G623-2-2</f>
        <v>380</v>
      </c>
      <c r="M625" s="490"/>
      <c r="N625" s="490"/>
      <c r="O625" s="490"/>
      <c r="P625" s="490"/>
      <c r="Q625" s="490"/>
      <c r="R625" s="213"/>
      <c r="S625" s="502"/>
      <c r="T625" s="502"/>
      <c r="U625" s="214"/>
      <c r="V625" s="490">
        <f>SUM(R625:U629)</f>
        <v>31.666666666666668</v>
      </c>
      <c r="W625" s="490">
        <f>+SUM(K625:Q629)</f>
        <v>380</v>
      </c>
      <c r="X625" s="490">
        <f>(+I625*J625*W625)/12</f>
        <v>63.333333333333336</v>
      </c>
      <c r="Y625" s="490">
        <f>IF(Y$4=$D625,$X625*Y$5,0)</f>
        <v>0</v>
      </c>
      <c r="Z625" s="490">
        <f t="shared" ref="Z625:AF625" si="112">IF(Z$4=$D625,$X625*Z$5,0)</f>
        <v>0</v>
      </c>
      <c r="AA625" s="490">
        <f t="shared" si="112"/>
        <v>66.056666666666658</v>
      </c>
      <c r="AB625" s="490">
        <f t="shared" si="112"/>
        <v>0</v>
      </c>
      <c r="AC625" s="490">
        <f t="shared" si="112"/>
        <v>0</v>
      </c>
      <c r="AD625" s="490">
        <f t="shared" si="112"/>
        <v>0</v>
      </c>
      <c r="AE625" s="490">
        <f t="shared" si="112"/>
        <v>0</v>
      </c>
      <c r="AF625" s="490">
        <f t="shared" si="112"/>
        <v>0</v>
      </c>
      <c r="AG625" s="490"/>
      <c r="AH625" s="193"/>
    </row>
    <row r="626" spans="1:34" x14ac:dyDescent="0.25">
      <c r="A626" s="193"/>
      <c r="B626" s="491"/>
      <c r="C626" s="500"/>
      <c r="D626" s="491"/>
      <c r="E626" s="491"/>
      <c r="F626" s="491"/>
      <c r="G626" s="491"/>
      <c r="H626" s="491"/>
      <c r="I626" s="491"/>
      <c r="J626" s="491"/>
      <c r="K626" s="491"/>
      <c r="L626" s="491"/>
      <c r="M626" s="491"/>
      <c r="N626" s="491"/>
      <c r="O626" s="491"/>
      <c r="P626" s="491"/>
      <c r="Q626" s="491"/>
      <c r="R626" s="213"/>
      <c r="S626" s="215"/>
      <c r="T626" s="216"/>
      <c r="U626" s="214"/>
      <c r="V626" s="491"/>
      <c r="W626" s="491"/>
      <c r="X626" s="491"/>
      <c r="Y626" s="491"/>
      <c r="Z626" s="491"/>
      <c r="AA626" s="491"/>
      <c r="AB626" s="491"/>
      <c r="AC626" s="491"/>
      <c r="AD626" s="491"/>
      <c r="AE626" s="491"/>
      <c r="AF626" s="491"/>
      <c r="AG626" s="491"/>
      <c r="AH626" s="193"/>
    </row>
    <row r="627" spans="1:34" x14ac:dyDescent="0.25">
      <c r="A627" s="193"/>
      <c r="B627" s="491"/>
      <c r="C627" s="500"/>
      <c r="D627" s="491"/>
      <c r="E627" s="491"/>
      <c r="F627" s="491"/>
      <c r="G627" s="491"/>
      <c r="H627" s="491"/>
      <c r="I627" s="491"/>
      <c r="J627" s="491"/>
      <c r="K627" s="491"/>
      <c r="L627" s="491"/>
      <c r="M627" s="491"/>
      <c r="N627" s="491"/>
      <c r="O627" s="491"/>
      <c r="P627" s="491"/>
      <c r="Q627" s="491"/>
      <c r="R627" s="217"/>
      <c r="S627" s="218"/>
      <c r="T627" s="218"/>
      <c r="U627" s="219"/>
      <c r="V627" s="491"/>
      <c r="W627" s="491"/>
      <c r="X627" s="491"/>
      <c r="Y627" s="491"/>
      <c r="Z627" s="491"/>
      <c r="AA627" s="491"/>
      <c r="AB627" s="491"/>
      <c r="AC627" s="491"/>
      <c r="AD627" s="491"/>
      <c r="AE627" s="491"/>
      <c r="AF627" s="491"/>
      <c r="AG627" s="491"/>
      <c r="AH627" s="193"/>
    </row>
    <row r="628" spans="1:34" ht="15.75" thickBot="1" x14ac:dyDescent="0.3">
      <c r="A628" s="193"/>
      <c r="B628" s="491"/>
      <c r="C628" s="500"/>
      <c r="D628" s="491"/>
      <c r="E628" s="491"/>
      <c r="F628" s="491"/>
      <c r="G628" s="491"/>
      <c r="H628" s="491"/>
      <c r="I628" s="491"/>
      <c r="J628" s="491"/>
      <c r="K628" s="491"/>
      <c r="L628" s="491"/>
      <c r="M628" s="491"/>
      <c r="N628" s="491"/>
      <c r="O628" s="491"/>
      <c r="P628" s="491"/>
      <c r="Q628" s="491"/>
      <c r="R628" s="213"/>
      <c r="S628" s="220"/>
      <c r="T628" s="220"/>
      <c r="U628" s="214"/>
      <c r="V628" s="491"/>
      <c r="W628" s="491"/>
      <c r="X628" s="491"/>
      <c r="Y628" s="491"/>
      <c r="Z628" s="491"/>
      <c r="AA628" s="491"/>
      <c r="AB628" s="491"/>
      <c r="AC628" s="491"/>
      <c r="AD628" s="491"/>
      <c r="AE628" s="491"/>
      <c r="AF628" s="491"/>
      <c r="AG628" s="491"/>
      <c r="AH628" s="193"/>
    </row>
    <row r="629" spans="1:34" x14ac:dyDescent="0.25">
      <c r="A629" s="193"/>
      <c r="B629" s="492"/>
      <c r="C629" s="501"/>
      <c r="D629" s="492"/>
      <c r="E629" s="492"/>
      <c r="F629" s="492"/>
      <c r="G629" s="492"/>
      <c r="H629" s="492"/>
      <c r="I629" s="492"/>
      <c r="J629" s="492"/>
      <c r="K629" s="492"/>
      <c r="L629" s="492"/>
      <c r="M629" s="492"/>
      <c r="N629" s="492"/>
      <c r="O629" s="492"/>
      <c r="P629" s="492"/>
      <c r="Q629" s="492"/>
      <c r="R629" s="221"/>
      <c r="S629" s="493">
        <f>L625/12</f>
        <v>31.666666666666668</v>
      </c>
      <c r="T629" s="493"/>
      <c r="U629" s="222"/>
      <c r="V629" s="492"/>
      <c r="W629" s="492"/>
      <c r="X629" s="492"/>
      <c r="Y629" s="492"/>
      <c r="Z629" s="492"/>
      <c r="AA629" s="492"/>
      <c r="AB629" s="492"/>
      <c r="AC629" s="492"/>
      <c r="AD629" s="492"/>
      <c r="AE629" s="492"/>
      <c r="AF629" s="492"/>
      <c r="AG629" s="492"/>
      <c r="AH629" s="193"/>
    </row>
    <row r="630" spans="1:34" x14ac:dyDescent="0.25">
      <c r="A630" s="193"/>
      <c r="B630" s="490"/>
      <c r="C630" s="499" t="s">
        <v>271</v>
      </c>
      <c r="D630" s="490">
        <v>5</v>
      </c>
      <c r="E630" s="490">
        <v>0.625</v>
      </c>
      <c r="F630" s="490"/>
      <c r="G630" s="490"/>
      <c r="H630" s="490"/>
      <c r="I630" s="490">
        <v>2</v>
      </c>
      <c r="J630" s="490">
        <v>2</v>
      </c>
      <c r="K630" s="490">
        <v>30</v>
      </c>
      <c r="L630" s="490">
        <v>30</v>
      </c>
      <c r="M630" s="490"/>
      <c r="N630" s="490"/>
      <c r="O630" s="490"/>
      <c r="P630" s="490"/>
      <c r="Q630" s="490"/>
      <c r="R630" s="213"/>
      <c r="S630" s="498"/>
      <c r="T630" s="498"/>
      <c r="U630" s="214"/>
      <c r="V630" s="490">
        <f>SUM(R630:U634)</f>
        <v>5</v>
      </c>
      <c r="W630" s="490">
        <f>+SUM(K630:Q634)</f>
        <v>60</v>
      </c>
      <c r="X630" s="490">
        <f>(+I630*J630*W630)/12</f>
        <v>20</v>
      </c>
      <c r="Y630" s="490">
        <f t="shared" ref="Y630:AF630" si="113">IF(Y$4=$D630,$X630*Y$5,0)</f>
        <v>0</v>
      </c>
      <c r="Z630" s="490">
        <f t="shared" si="113"/>
        <v>0</v>
      </c>
      <c r="AA630" s="490">
        <f t="shared" si="113"/>
        <v>20.86</v>
      </c>
      <c r="AB630" s="490">
        <f t="shared" si="113"/>
        <v>0</v>
      </c>
      <c r="AC630" s="490">
        <f t="shared" si="113"/>
        <v>0</v>
      </c>
      <c r="AD630" s="490">
        <f t="shared" si="113"/>
        <v>0</v>
      </c>
      <c r="AE630" s="490">
        <f t="shared" si="113"/>
        <v>0</v>
      </c>
      <c r="AF630" s="490">
        <f t="shared" si="113"/>
        <v>0</v>
      </c>
      <c r="AG630" s="490"/>
      <c r="AH630" s="193"/>
    </row>
    <row r="631" spans="1:34" x14ac:dyDescent="0.25">
      <c r="A631" s="193"/>
      <c r="B631" s="491"/>
      <c r="C631" s="500"/>
      <c r="D631" s="491"/>
      <c r="E631" s="491"/>
      <c r="F631" s="491"/>
      <c r="G631" s="491"/>
      <c r="H631" s="491"/>
      <c r="I631" s="491"/>
      <c r="J631" s="491"/>
      <c r="K631" s="491"/>
      <c r="L631" s="491"/>
      <c r="M631" s="491"/>
      <c r="N631" s="491"/>
      <c r="O631" s="491"/>
      <c r="P631" s="491"/>
      <c r="Q631" s="491"/>
      <c r="R631" s="213"/>
      <c r="S631" s="215"/>
      <c r="T631" s="216"/>
      <c r="U631" s="214"/>
      <c r="V631" s="491"/>
      <c r="W631" s="491"/>
      <c r="X631" s="491"/>
      <c r="Y631" s="491"/>
      <c r="Z631" s="491"/>
      <c r="AA631" s="491"/>
      <c r="AB631" s="491"/>
      <c r="AC631" s="491"/>
      <c r="AD631" s="491"/>
      <c r="AE631" s="491"/>
      <c r="AF631" s="491"/>
      <c r="AG631" s="491"/>
      <c r="AH631" s="193"/>
    </row>
    <row r="632" spans="1:34" x14ac:dyDescent="0.25">
      <c r="A632" s="193"/>
      <c r="B632" s="491"/>
      <c r="C632" s="500"/>
      <c r="D632" s="491"/>
      <c r="E632" s="491"/>
      <c r="F632" s="491"/>
      <c r="G632" s="491"/>
      <c r="H632" s="491"/>
      <c r="I632" s="491"/>
      <c r="J632" s="491"/>
      <c r="K632" s="491"/>
      <c r="L632" s="491"/>
      <c r="M632" s="491"/>
      <c r="N632" s="491"/>
      <c r="O632" s="491"/>
      <c r="P632" s="491"/>
      <c r="Q632" s="491"/>
      <c r="R632" s="217">
        <f>K630/12</f>
        <v>2.5</v>
      </c>
      <c r="S632" s="223"/>
      <c r="T632" s="195"/>
      <c r="U632" s="219"/>
      <c r="V632" s="491"/>
      <c r="W632" s="491"/>
      <c r="X632" s="491"/>
      <c r="Y632" s="491"/>
      <c r="Z632" s="491"/>
      <c r="AA632" s="491"/>
      <c r="AB632" s="491"/>
      <c r="AC632" s="491"/>
      <c r="AD632" s="491"/>
      <c r="AE632" s="491"/>
      <c r="AF632" s="491"/>
      <c r="AG632" s="491"/>
      <c r="AH632" s="193"/>
    </row>
    <row r="633" spans="1:34" ht="15.75" thickBot="1" x14ac:dyDescent="0.3">
      <c r="A633" s="193"/>
      <c r="B633" s="491"/>
      <c r="C633" s="500"/>
      <c r="D633" s="491"/>
      <c r="E633" s="491"/>
      <c r="F633" s="491"/>
      <c r="G633" s="491"/>
      <c r="H633" s="491"/>
      <c r="I633" s="491"/>
      <c r="J633" s="491"/>
      <c r="K633" s="491"/>
      <c r="L633" s="491"/>
      <c r="M633" s="491"/>
      <c r="N633" s="491"/>
      <c r="O633" s="491"/>
      <c r="P633" s="491"/>
      <c r="Q633" s="491"/>
      <c r="R633" s="213"/>
      <c r="S633" s="224"/>
      <c r="T633" s="220"/>
      <c r="U633" s="214"/>
      <c r="V633" s="491"/>
      <c r="W633" s="491"/>
      <c r="X633" s="491"/>
      <c r="Y633" s="491"/>
      <c r="Z633" s="491"/>
      <c r="AA633" s="491"/>
      <c r="AB633" s="491"/>
      <c r="AC633" s="491"/>
      <c r="AD633" s="491"/>
      <c r="AE633" s="491"/>
      <c r="AF633" s="491"/>
      <c r="AG633" s="491"/>
      <c r="AH633" s="193"/>
    </row>
    <row r="634" spans="1:34" x14ac:dyDescent="0.25">
      <c r="A634" s="193"/>
      <c r="B634" s="492"/>
      <c r="C634" s="501"/>
      <c r="D634" s="492"/>
      <c r="E634" s="492"/>
      <c r="F634" s="492"/>
      <c r="G634" s="492"/>
      <c r="H634" s="492"/>
      <c r="I634" s="492"/>
      <c r="J634" s="492"/>
      <c r="K634" s="492"/>
      <c r="L634" s="492"/>
      <c r="M634" s="492"/>
      <c r="N634" s="492"/>
      <c r="O634" s="492"/>
      <c r="P634" s="492"/>
      <c r="Q634" s="492"/>
      <c r="R634" s="221"/>
      <c r="S634" s="493">
        <f>L630/12</f>
        <v>2.5</v>
      </c>
      <c r="T634" s="493"/>
      <c r="U634" s="222"/>
      <c r="V634" s="492"/>
      <c r="W634" s="492"/>
      <c r="X634" s="492"/>
      <c r="Y634" s="492"/>
      <c r="Z634" s="492"/>
      <c r="AA634" s="492"/>
      <c r="AB634" s="492"/>
      <c r="AC634" s="492"/>
      <c r="AD634" s="492"/>
      <c r="AE634" s="492"/>
      <c r="AF634" s="492"/>
      <c r="AG634" s="492"/>
      <c r="AH634" s="193"/>
    </row>
    <row r="635" spans="1:34" x14ac:dyDescent="0.25">
      <c r="A635" s="193"/>
      <c r="B635" s="490"/>
      <c r="C635" s="490" t="s">
        <v>277</v>
      </c>
      <c r="D635" s="490">
        <v>5</v>
      </c>
      <c r="E635" s="490">
        <v>0.625</v>
      </c>
      <c r="F635" s="494">
        <v>16</v>
      </c>
      <c r="G635" s="229"/>
      <c r="H635" s="490"/>
      <c r="I635" s="490">
        <f>ROUNDUP(G625/F635,0)</f>
        <v>24</v>
      </c>
      <c r="J635" s="490">
        <v>1</v>
      </c>
      <c r="K635" s="490">
        <v>6</v>
      </c>
      <c r="L635" s="490">
        <f>4*12-2</f>
        <v>46</v>
      </c>
      <c r="M635" s="490">
        <f>11*12</f>
        <v>132</v>
      </c>
      <c r="N635" s="490"/>
      <c r="O635" s="490"/>
      <c r="P635" s="490"/>
      <c r="Q635" s="490"/>
      <c r="R635" s="213"/>
      <c r="S635" s="498"/>
      <c r="T635" s="498"/>
      <c r="U635" s="214"/>
      <c r="V635" s="490">
        <f>SUM(R635:U639)</f>
        <v>15.333333333333334</v>
      </c>
      <c r="W635" s="490">
        <f>+SUM(K635:Q639)</f>
        <v>184</v>
      </c>
      <c r="X635" s="490">
        <f>(+I635*J635*W635)/12</f>
        <v>368</v>
      </c>
      <c r="Y635" s="490">
        <f t="shared" ref="Y635:AF635" si="114">IF(Y$4=$D635,$X635*Y$5,0)</f>
        <v>0</v>
      </c>
      <c r="Z635" s="490">
        <f t="shared" si="114"/>
        <v>0</v>
      </c>
      <c r="AA635" s="490">
        <f t="shared" si="114"/>
        <v>383.82399999999996</v>
      </c>
      <c r="AB635" s="490">
        <f t="shared" si="114"/>
        <v>0</v>
      </c>
      <c r="AC635" s="490">
        <f t="shared" si="114"/>
        <v>0</v>
      </c>
      <c r="AD635" s="490">
        <f t="shared" si="114"/>
        <v>0</v>
      </c>
      <c r="AE635" s="490">
        <f t="shared" si="114"/>
        <v>0</v>
      </c>
      <c r="AF635" s="490">
        <f t="shared" si="114"/>
        <v>0</v>
      </c>
      <c r="AG635" s="490"/>
      <c r="AH635" s="193"/>
    </row>
    <row r="636" spans="1:34" x14ac:dyDescent="0.25">
      <c r="A636" s="193"/>
      <c r="B636" s="491"/>
      <c r="C636" s="491"/>
      <c r="D636" s="491"/>
      <c r="E636" s="491"/>
      <c r="F636" s="495"/>
      <c r="G636" s="230"/>
      <c r="H636" s="491"/>
      <c r="I636" s="491"/>
      <c r="J636" s="491"/>
      <c r="K636" s="491"/>
      <c r="L636" s="491"/>
      <c r="M636" s="491"/>
      <c r="N636" s="491"/>
      <c r="O636" s="491"/>
      <c r="P636" s="491"/>
      <c r="Q636" s="491"/>
      <c r="R636" s="213"/>
      <c r="S636" s="215"/>
      <c r="T636" s="216"/>
      <c r="U636" s="214"/>
      <c r="V636" s="491"/>
      <c r="W636" s="491"/>
      <c r="X636" s="491"/>
      <c r="Y636" s="491"/>
      <c r="Z636" s="491"/>
      <c r="AA636" s="491"/>
      <c r="AB636" s="491"/>
      <c r="AC636" s="491"/>
      <c r="AD636" s="491"/>
      <c r="AE636" s="491"/>
      <c r="AF636" s="491"/>
      <c r="AG636" s="491"/>
      <c r="AH636" s="193"/>
    </row>
    <row r="637" spans="1:34" x14ac:dyDescent="0.25">
      <c r="A637" s="193"/>
      <c r="B637" s="491"/>
      <c r="C637" s="491"/>
      <c r="D637" s="491"/>
      <c r="E637" s="491"/>
      <c r="F637" s="495"/>
      <c r="G637" s="230"/>
      <c r="H637" s="491"/>
      <c r="I637" s="491"/>
      <c r="J637" s="491"/>
      <c r="K637" s="491"/>
      <c r="L637" s="491"/>
      <c r="M637" s="491"/>
      <c r="N637" s="491"/>
      <c r="O637" s="491"/>
      <c r="P637" s="491"/>
      <c r="Q637" s="491"/>
      <c r="R637" s="225">
        <f>K635/12</f>
        <v>0.5</v>
      </c>
      <c r="S637" s="218"/>
      <c r="T637" s="218"/>
      <c r="U637" s="219"/>
      <c r="V637" s="491"/>
      <c r="W637" s="491"/>
      <c r="X637" s="491"/>
      <c r="Y637" s="491"/>
      <c r="Z637" s="491"/>
      <c r="AA637" s="491"/>
      <c r="AB637" s="491"/>
      <c r="AC637" s="491"/>
      <c r="AD637" s="491"/>
      <c r="AE637" s="491"/>
      <c r="AF637" s="491"/>
      <c r="AG637" s="491"/>
      <c r="AH637" s="193"/>
    </row>
    <row r="638" spans="1:34" ht="15.75" thickBot="1" x14ac:dyDescent="0.3">
      <c r="A638" s="193"/>
      <c r="B638" s="491"/>
      <c r="C638" s="491"/>
      <c r="D638" s="491"/>
      <c r="E638" s="491"/>
      <c r="F638" s="495"/>
      <c r="G638" s="230"/>
      <c r="H638" s="491"/>
      <c r="I638" s="491"/>
      <c r="J638" s="491"/>
      <c r="K638" s="491"/>
      <c r="L638" s="491"/>
      <c r="M638" s="491"/>
      <c r="N638" s="491"/>
      <c r="O638" s="491"/>
      <c r="P638" s="491"/>
      <c r="Q638" s="491"/>
      <c r="R638" s="226"/>
      <c r="S638" s="220"/>
      <c r="T638" s="220"/>
      <c r="U638" s="214"/>
      <c r="V638" s="491"/>
      <c r="W638" s="491"/>
      <c r="X638" s="491"/>
      <c r="Y638" s="491"/>
      <c r="Z638" s="491"/>
      <c r="AA638" s="491"/>
      <c r="AB638" s="491"/>
      <c r="AC638" s="491"/>
      <c r="AD638" s="491"/>
      <c r="AE638" s="491"/>
      <c r="AF638" s="491"/>
      <c r="AG638" s="491"/>
      <c r="AH638" s="193"/>
    </row>
    <row r="639" spans="1:34" x14ac:dyDescent="0.25">
      <c r="A639" s="193"/>
      <c r="B639" s="492"/>
      <c r="C639" s="492"/>
      <c r="D639" s="491"/>
      <c r="E639" s="491"/>
      <c r="F639" s="496"/>
      <c r="G639" s="231"/>
      <c r="H639" s="492"/>
      <c r="I639" s="492"/>
      <c r="J639" s="492"/>
      <c r="K639" s="492"/>
      <c r="L639" s="492"/>
      <c r="M639" s="492"/>
      <c r="N639" s="492"/>
      <c r="O639" s="492"/>
      <c r="P639" s="492"/>
      <c r="Q639" s="492"/>
      <c r="R639" s="221"/>
      <c r="S639" s="493">
        <f>+SUM(L635:M639)/12</f>
        <v>14.833333333333334</v>
      </c>
      <c r="T639" s="493"/>
      <c r="U639" s="222"/>
      <c r="V639" s="492"/>
      <c r="W639" s="492"/>
      <c r="X639" s="492"/>
      <c r="Y639" s="492"/>
      <c r="Z639" s="492"/>
      <c r="AA639" s="492"/>
      <c r="AB639" s="492"/>
      <c r="AC639" s="492"/>
      <c r="AD639" s="492"/>
      <c r="AE639" s="492"/>
      <c r="AF639" s="492"/>
      <c r="AG639" s="492"/>
      <c r="AH639" s="193"/>
    </row>
    <row r="640" spans="1:34" x14ac:dyDescent="0.25">
      <c r="A640" s="193"/>
      <c r="B640" s="490"/>
      <c r="C640" s="490" t="s">
        <v>286</v>
      </c>
      <c r="D640" s="490">
        <v>5</v>
      </c>
      <c r="E640" s="490">
        <v>0.625</v>
      </c>
      <c r="F640" s="494">
        <v>16</v>
      </c>
      <c r="G640" s="229"/>
      <c r="H640" s="490"/>
      <c r="I640" s="490">
        <f>ROUNDUP(M635/F640,0)</f>
        <v>9</v>
      </c>
      <c r="J640" s="490">
        <v>1</v>
      </c>
      <c r="K640" s="490"/>
      <c r="L640" s="490">
        <f>G623-2-2</f>
        <v>380</v>
      </c>
      <c r="M640" s="490"/>
      <c r="N640" s="490"/>
      <c r="O640" s="490"/>
      <c r="P640" s="490"/>
      <c r="Q640" s="490"/>
      <c r="R640" s="213"/>
      <c r="S640" s="498"/>
      <c r="T640" s="498"/>
      <c r="U640" s="214"/>
      <c r="V640" s="490">
        <f>SUM(R640:U644)</f>
        <v>31.666666666666668</v>
      </c>
      <c r="W640" s="490">
        <f>+SUM(K640:Q644)</f>
        <v>380</v>
      </c>
      <c r="X640" s="490">
        <f>(+I640*J640*W640)/12</f>
        <v>285</v>
      </c>
      <c r="Y640" s="490">
        <f t="shared" ref="Y640:AF640" si="115">IF(Y$4=$D640,$X640*Y$5,0)</f>
        <v>0</v>
      </c>
      <c r="Z640" s="490">
        <f t="shared" si="115"/>
        <v>0</v>
      </c>
      <c r="AA640" s="490">
        <f t="shared" si="115"/>
        <v>297.255</v>
      </c>
      <c r="AB640" s="490">
        <f t="shared" si="115"/>
        <v>0</v>
      </c>
      <c r="AC640" s="490">
        <f t="shared" si="115"/>
        <v>0</v>
      </c>
      <c r="AD640" s="490">
        <f t="shared" si="115"/>
        <v>0</v>
      </c>
      <c r="AE640" s="490">
        <f t="shared" si="115"/>
        <v>0</v>
      </c>
      <c r="AF640" s="490">
        <f t="shared" si="115"/>
        <v>0</v>
      </c>
      <c r="AG640" s="490"/>
      <c r="AH640" s="193"/>
    </row>
    <row r="641" spans="1:34" x14ac:dyDescent="0.25">
      <c r="A641" s="193"/>
      <c r="B641" s="491"/>
      <c r="C641" s="491"/>
      <c r="D641" s="491"/>
      <c r="E641" s="491"/>
      <c r="F641" s="495"/>
      <c r="G641" s="230"/>
      <c r="H641" s="491"/>
      <c r="I641" s="491"/>
      <c r="J641" s="491"/>
      <c r="K641" s="491"/>
      <c r="L641" s="491"/>
      <c r="M641" s="491"/>
      <c r="N641" s="491"/>
      <c r="O641" s="491"/>
      <c r="P641" s="491"/>
      <c r="Q641" s="491"/>
      <c r="R641" s="213"/>
      <c r="S641" s="215"/>
      <c r="T641" s="216"/>
      <c r="U641" s="214"/>
      <c r="V641" s="491"/>
      <c r="W641" s="491"/>
      <c r="X641" s="491"/>
      <c r="Y641" s="491"/>
      <c r="Z641" s="491"/>
      <c r="AA641" s="491"/>
      <c r="AB641" s="491"/>
      <c r="AC641" s="491"/>
      <c r="AD641" s="491"/>
      <c r="AE641" s="491"/>
      <c r="AF641" s="491"/>
      <c r="AG641" s="491"/>
      <c r="AH641" s="193"/>
    </row>
    <row r="642" spans="1:34" x14ac:dyDescent="0.25">
      <c r="A642" s="193"/>
      <c r="B642" s="491"/>
      <c r="C642" s="491"/>
      <c r="D642" s="491"/>
      <c r="E642" s="491"/>
      <c r="F642" s="495"/>
      <c r="G642" s="230"/>
      <c r="H642" s="491"/>
      <c r="I642" s="491"/>
      <c r="J642" s="491"/>
      <c r="K642" s="491"/>
      <c r="L642" s="491"/>
      <c r="M642" s="491"/>
      <c r="N642" s="491"/>
      <c r="O642" s="491"/>
      <c r="P642" s="491"/>
      <c r="Q642" s="497"/>
      <c r="R642" s="217"/>
      <c r="S642" s="218"/>
      <c r="T642" s="218"/>
      <c r="U642" s="219"/>
      <c r="V642" s="491"/>
      <c r="W642" s="491"/>
      <c r="X642" s="491"/>
      <c r="Y642" s="491"/>
      <c r="Z642" s="491"/>
      <c r="AA642" s="491"/>
      <c r="AB642" s="491"/>
      <c r="AC642" s="491"/>
      <c r="AD642" s="491"/>
      <c r="AE642" s="491"/>
      <c r="AF642" s="491"/>
      <c r="AG642" s="491"/>
      <c r="AH642" s="193"/>
    </row>
    <row r="643" spans="1:34" ht="15.75" thickBot="1" x14ac:dyDescent="0.3">
      <c r="A643" s="193"/>
      <c r="B643" s="491"/>
      <c r="C643" s="491"/>
      <c r="D643" s="491"/>
      <c r="E643" s="491"/>
      <c r="F643" s="495"/>
      <c r="G643" s="230"/>
      <c r="H643" s="491"/>
      <c r="I643" s="491"/>
      <c r="J643" s="491"/>
      <c r="K643" s="491"/>
      <c r="L643" s="491"/>
      <c r="M643" s="491"/>
      <c r="N643" s="491"/>
      <c r="O643" s="491"/>
      <c r="P643" s="491"/>
      <c r="Q643" s="497"/>
      <c r="R643" s="213"/>
      <c r="S643" s="220"/>
      <c r="T643" s="220"/>
      <c r="U643" s="214"/>
      <c r="V643" s="491"/>
      <c r="W643" s="491"/>
      <c r="X643" s="491"/>
      <c r="Y643" s="491"/>
      <c r="Z643" s="491"/>
      <c r="AA643" s="491"/>
      <c r="AB643" s="491"/>
      <c r="AC643" s="491"/>
      <c r="AD643" s="491"/>
      <c r="AE643" s="491"/>
      <c r="AF643" s="491"/>
      <c r="AG643" s="491"/>
      <c r="AH643" s="193"/>
    </row>
    <row r="644" spans="1:34" x14ac:dyDescent="0.25">
      <c r="A644" s="193"/>
      <c r="B644" s="492"/>
      <c r="C644" s="492"/>
      <c r="D644" s="492"/>
      <c r="E644" s="492"/>
      <c r="F644" s="496"/>
      <c r="G644" s="231"/>
      <c r="H644" s="492"/>
      <c r="I644" s="492"/>
      <c r="J644" s="492"/>
      <c r="K644" s="492"/>
      <c r="L644" s="492"/>
      <c r="M644" s="492"/>
      <c r="N644" s="492"/>
      <c r="O644" s="492"/>
      <c r="P644" s="492"/>
      <c r="Q644" s="492"/>
      <c r="R644" s="221"/>
      <c r="S644" s="493">
        <f>L640/12</f>
        <v>31.666666666666668</v>
      </c>
      <c r="T644" s="493"/>
      <c r="U644" s="222"/>
      <c r="V644" s="492"/>
      <c r="W644" s="492"/>
      <c r="X644" s="492"/>
      <c r="Y644" s="492"/>
      <c r="Z644" s="492"/>
      <c r="AA644" s="492"/>
      <c r="AB644" s="492"/>
      <c r="AC644" s="492"/>
      <c r="AD644" s="492"/>
      <c r="AE644" s="492"/>
      <c r="AF644" s="492"/>
      <c r="AG644" s="492"/>
      <c r="AH644" s="193"/>
    </row>
    <row r="645" spans="1:34" x14ac:dyDescent="0.25">
      <c r="A645" s="193"/>
      <c r="B645" s="195"/>
      <c r="C645" s="195"/>
      <c r="D645" s="193"/>
      <c r="E645" s="193"/>
      <c r="F645" s="193"/>
      <c r="G645" s="193"/>
      <c r="H645" s="195"/>
      <c r="I645" s="195"/>
      <c r="J645" s="195"/>
      <c r="K645" s="195"/>
      <c r="L645" s="195"/>
      <c r="M645" s="195"/>
      <c r="N645" s="195"/>
      <c r="O645" s="195"/>
      <c r="P645" s="195"/>
      <c r="Q645" s="195"/>
      <c r="R645" s="195"/>
      <c r="S645" s="232"/>
      <c r="T645" s="232"/>
      <c r="U645" s="233"/>
      <c r="V645" s="195"/>
      <c r="W645" s="195"/>
      <c r="X645" s="195"/>
      <c r="Y645" s="195"/>
      <c r="Z645" s="195"/>
      <c r="AA645" s="195"/>
      <c r="AB645" s="195"/>
      <c r="AC645" s="195"/>
      <c r="AD645" s="195"/>
      <c r="AE645" s="195"/>
      <c r="AF645" s="195"/>
      <c r="AG645" s="195"/>
      <c r="AH645" s="193"/>
    </row>
    <row r="646" spans="1:34" s="265" customFormat="1" x14ac:dyDescent="0.25">
      <c r="A646" s="261"/>
      <c r="B646" s="262"/>
      <c r="C646" s="262"/>
      <c r="D646" s="261"/>
      <c r="E646" s="261"/>
      <c r="F646" s="261"/>
      <c r="G646" s="261"/>
      <c r="H646" s="262"/>
      <c r="I646" s="262"/>
      <c r="J646" s="262"/>
      <c r="K646" s="262"/>
      <c r="L646" s="262"/>
      <c r="M646" s="262"/>
      <c r="N646" s="262"/>
      <c r="O646" s="262"/>
      <c r="P646" s="262"/>
      <c r="Q646" s="262"/>
      <c r="R646" s="262"/>
      <c r="S646" s="263"/>
      <c r="T646" s="263"/>
      <c r="U646" s="264"/>
      <c r="V646" s="262"/>
      <c r="W646" s="262"/>
      <c r="X646" s="262"/>
      <c r="Y646" s="262"/>
      <c r="Z646" s="262"/>
      <c r="AA646" s="262"/>
      <c r="AB646" s="262"/>
      <c r="AC646" s="262"/>
      <c r="AD646" s="262"/>
      <c r="AE646" s="262"/>
      <c r="AF646" s="262"/>
      <c r="AG646" s="262"/>
      <c r="AH646" s="261"/>
    </row>
    <row r="647" spans="1:34" ht="15.75" thickBot="1" x14ac:dyDescent="0.3">
      <c r="A647" s="195"/>
      <c r="B647" s="200" t="s">
        <v>263</v>
      </c>
      <c r="C647" s="199" t="s">
        <v>379</v>
      </c>
      <c r="D647" s="197">
        <v>60</v>
      </c>
      <c r="E647" s="201">
        <v>8</v>
      </c>
      <c r="F647" s="202"/>
      <c r="G647" s="202">
        <f>(34*12)+5</f>
        <v>413</v>
      </c>
      <c r="H647" s="202">
        <v>16</v>
      </c>
      <c r="I647" s="202">
        <v>12</v>
      </c>
      <c r="J647" s="202">
        <v>12</v>
      </c>
      <c r="K647" s="199"/>
      <c r="L647" s="199"/>
      <c r="M647" s="199"/>
      <c r="N647" s="199"/>
      <c r="O647" s="199"/>
      <c r="P647" s="199"/>
      <c r="Q647" s="198"/>
      <c r="R647" s="196"/>
      <c r="S647" s="196"/>
      <c r="T647" s="196"/>
      <c r="U647" s="196"/>
      <c r="V647" s="203"/>
      <c r="W647" s="202"/>
      <c r="X647" s="202"/>
      <c r="Y647" s="199"/>
      <c r="Z647" s="199"/>
      <c r="AA647" s="199"/>
      <c r="AB647" s="199"/>
      <c r="AC647" s="199"/>
      <c r="AD647" s="199"/>
      <c r="AE647" s="199"/>
      <c r="AF647" s="199"/>
      <c r="AG647" s="199"/>
      <c r="AH647" s="195"/>
    </row>
    <row r="648" spans="1:34" ht="15.75" thickBot="1" x14ac:dyDescent="0.3">
      <c r="A648" s="193"/>
      <c r="B648" s="204"/>
      <c r="C648" s="205"/>
      <c r="D648" s="194"/>
      <c r="E648" s="206"/>
      <c r="F648" s="205"/>
      <c r="G648" s="205"/>
      <c r="H648" s="207">
        <v>3</v>
      </c>
      <c r="I648" s="207">
        <v>2</v>
      </c>
      <c r="J648" s="205"/>
      <c r="K648" s="205"/>
      <c r="L648" s="205"/>
      <c r="M648" s="205"/>
      <c r="N648" s="205"/>
      <c r="O648" s="205"/>
      <c r="P648" s="205"/>
      <c r="Q648" s="208"/>
      <c r="R648" s="209"/>
      <c r="S648" s="210"/>
      <c r="T648" s="210"/>
      <c r="U648" s="211"/>
      <c r="V648" s="212"/>
      <c r="W648" s="204"/>
      <c r="X648" s="204"/>
      <c r="Y648" s="205"/>
      <c r="Z648" s="205"/>
      <c r="AA648" s="205"/>
      <c r="AB648" s="205"/>
      <c r="AC648" s="205"/>
      <c r="AD648" s="205"/>
      <c r="AE648" s="205"/>
      <c r="AF648" s="205"/>
      <c r="AG648" s="205"/>
      <c r="AH648" s="193"/>
    </row>
    <row r="649" spans="1:34" x14ac:dyDescent="0.25">
      <c r="A649" s="193"/>
      <c r="B649" s="490"/>
      <c r="C649" s="499" t="s">
        <v>265</v>
      </c>
      <c r="D649" s="490">
        <v>5</v>
      </c>
      <c r="E649" s="490">
        <v>0.625</v>
      </c>
      <c r="F649" s="490"/>
      <c r="G649" s="490">
        <f>G647</f>
        <v>413</v>
      </c>
      <c r="H649" s="490"/>
      <c r="I649" s="490">
        <v>2</v>
      </c>
      <c r="J649" s="490">
        <v>1</v>
      </c>
      <c r="K649" s="490"/>
      <c r="L649" s="490">
        <f>G647-2-2</f>
        <v>409</v>
      </c>
      <c r="M649" s="490"/>
      <c r="N649" s="490"/>
      <c r="O649" s="490"/>
      <c r="P649" s="490"/>
      <c r="Q649" s="490"/>
      <c r="R649" s="213"/>
      <c r="S649" s="502"/>
      <c r="T649" s="502"/>
      <c r="U649" s="214"/>
      <c r="V649" s="490">
        <f>SUM(R649:U653)</f>
        <v>34.083333333333336</v>
      </c>
      <c r="W649" s="490">
        <f>+SUM(K649:Q653)</f>
        <v>409</v>
      </c>
      <c r="X649" s="490">
        <f>(+I649*J649*W649)/12</f>
        <v>68.166666666666671</v>
      </c>
      <c r="Y649" s="490">
        <f>IF(Y$4=$D649,$X649*Y$5,0)</f>
        <v>0</v>
      </c>
      <c r="Z649" s="490">
        <f t="shared" ref="Z649:AF649" si="116">IF(Z$4=$D649,$X649*Z$5,0)</f>
        <v>0</v>
      </c>
      <c r="AA649" s="490">
        <f t="shared" si="116"/>
        <v>71.097833333333327</v>
      </c>
      <c r="AB649" s="490">
        <f t="shared" si="116"/>
        <v>0</v>
      </c>
      <c r="AC649" s="490">
        <f t="shared" si="116"/>
        <v>0</v>
      </c>
      <c r="AD649" s="490">
        <f t="shared" si="116"/>
        <v>0</v>
      </c>
      <c r="AE649" s="490">
        <f t="shared" si="116"/>
        <v>0</v>
      </c>
      <c r="AF649" s="490">
        <f t="shared" si="116"/>
        <v>0</v>
      </c>
      <c r="AG649" s="490"/>
      <c r="AH649" s="193"/>
    </row>
    <row r="650" spans="1:34" x14ac:dyDescent="0.25">
      <c r="A650" s="193"/>
      <c r="B650" s="491"/>
      <c r="C650" s="500"/>
      <c r="D650" s="491"/>
      <c r="E650" s="491"/>
      <c r="F650" s="491"/>
      <c r="G650" s="491"/>
      <c r="H650" s="491"/>
      <c r="I650" s="491"/>
      <c r="J650" s="491"/>
      <c r="K650" s="491"/>
      <c r="L650" s="491"/>
      <c r="M650" s="491"/>
      <c r="N650" s="491"/>
      <c r="O650" s="491"/>
      <c r="P650" s="491"/>
      <c r="Q650" s="491"/>
      <c r="R650" s="213"/>
      <c r="S650" s="215"/>
      <c r="T650" s="216"/>
      <c r="U650" s="214"/>
      <c r="V650" s="491"/>
      <c r="W650" s="491"/>
      <c r="X650" s="491"/>
      <c r="Y650" s="491"/>
      <c r="Z650" s="491"/>
      <c r="AA650" s="491"/>
      <c r="AB650" s="491"/>
      <c r="AC650" s="491"/>
      <c r="AD650" s="491"/>
      <c r="AE650" s="491"/>
      <c r="AF650" s="491"/>
      <c r="AG650" s="491"/>
      <c r="AH650" s="193"/>
    </row>
    <row r="651" spans="1:34" x14ac:dyDescent="0.25">
      <c r="A651" s="193"/>
      <c r="B651" s="491"/>
      <c r="C651" s="500"/>
      <c r="D651" s="491"/>
      <c r="E651" s="491"/>
      <c r="F651" s="491"/>
      <c r="G651" s="491"/>
      <c r="H651" s="491"/>
      <c r="I651" s="491"/>
      <c r="J651" s="491"/>
      <c r="K651" s="491"/>
      <c r="L651" s="491"/>
      <c r="M651" s="491"/>
      <c r="N651" s="491"/>
      <c r="O651" s="491"/>
      <c r="P651" s="491"/>
      <c r="Q651" s="491"/>
      <c r="R651" s="217"/>
      <c r="S651" s="218"/>
      <c r="T651" s="218"/>
      <c r="U651" s="219"/>
      <c r="V651" s="491"/>
      <c r="W651" s="491"/>
      <c r="X651" s="491"/>
      <c r="Y651" s="491"/>
      <c r="Z651" s="491"/>
      <c r="AA651" s="491"/>
      <c r="AB651" s="491"/>
      <c r="AC651" s="491"/>
      <c r="AD651" s="491"/>
      <c r="AE651" s="491"/>
      <c r="AF651" s="491"/>
      <c r="AG651" s="491"/>
      <c r="AH651" s="193"/>
    </row>
    <row r="652" spans="1:34" ht="15.75" thickBot="1" x14ac:dyDescent="0.3">
      <c r="A652" s="193"/>
      <c r="B652" s="491"/>
      <c r="C652" s="500"/>
      <c r="D652" s="491"/>
      <c r="E652" s="491"/>
      <c r="F652" s="491"/>
      <c r="G652" s="491"/>
      <c r="H652" s="491"/>
      <c r="I652" s="491"/>
      <c r="J652" s="491"/>
      <c r="K652" s="491"/>
      <c r="L652" s="491"/>
      <c r="M652" s="491"/>
      <c r="N652" s="491"/>
      <c r="O652" s="491"/>
      <c r="P652" s="491"/>
      <c r="Q652" s="491"/>
      <c r="R652" s="213"/>
      <c r="S652" s="220"/>
      <c r="T652" s="220"/>
      <c r="U652" s="214"/>
      <c r="V652" s="491"/>
      <c r="W652" s="491"/>
      <c r="X652" s="491"/>
      <c r="Y652" s="491"/>
      <c r="Z652" s="491"/>
      <c r="AA652" s="491"/>
      <c r="AB652" s="491"/>
      <c r="AC652" s="491"/>
      <c r="AD652" s="491"/>
      <c r="AE652" s="491"/>
      <c r="AF652" s="491"/>
      <c r="AG652" s="491"/>
      <c r="AH652" s="193"/>
    </row>
    <row r="653" spans="1:34" x14ac:dyDescent="0.25">
      <c r="A653" s="193"/>
      <c r="B653" s="492"/>
      <c r="C653" s="501"/>
      <c r="D653" s="492"/>
      <c r="E653" s="492"/>
      <c r="F653" s="492"/>
      <c r="G653" s="492"/>
      <c r="H653" s="492"/>
      <c r="I653" s="492"/>
      <c r="J653" s="492"/>
      <c r="K653" s="492"/>
      <c r="L653" s="492"/>
      <c r="M653" s="492"/>
      <c r="N653" s="492"/>
      <c r="O653" s="492"/>
      <c r="P653" s="492"/>
      <c r="Q653" s="492"/>
      <c r="R653" s="221"/>
      <c r="S653" s="493">
        <f>L649/12</f>
        <v>34.083333333333336</v>
      </c>
      <c r="T653" s="493"/>
      <c r="U653" s="222"/>
      <c r="V653" s="492"/>
      <c r="W653" s="492"/>
      <c r="X653" s="492"/>
      <c r="Y653" s="492"/>
      <c r="Z653" s="492"/>
      <c r="AA653" s="492"/>
      <c r="AB653" s="492"/>
      <c r="AC653" s="492"/>
      <c r="AD653" s="492"/>
      <c r="AE653" s="492"/>
      <c r="AF653" s="492"/>
      <c r="AG653" s="492"/>
      <c r="AH653" s="193"/>
    </row>
    <row r="654" spans="1:34" x14ac:dyDescent="0.25">
      <c r="A654" s="193"/>
      <c r="B654" s="490"/>
      <c r="C654" s="499" t="s">
        <v>271</v>
      </c>
      <c r="D654" s="490">
        <v>5</v>
      </c>
      <c r="E654" s="490">
        <v>0.625</v>
      </c>
      <c r="F654" s="490"/>
      <c r="G654" s="490"/>
      <c r="H654" s="490"/>
      <c r="I654" s="490">
        <v>2</v>
      </c>
      <c r="J654" s="490">
        <v>2</v>
      </c>
      <c r="K654" s="490">
        <v>30</v>
      </c>
      <c r="L654" s="490">
        <v>30</v>
      </c>
      <c r="M654" s="490"/>
      <c r="N654" s="490"/>
      <c r="O654" s="490"/>
      <c r="P654" s="490"/>
      <c r="Q654" s="490"/>
      <c r="R654" s="213"/>
      <c r="S654" s="498"/>
      <c r="T654" s="498"/>
      <c r="U654" s="214"/>
      <c r="V654" s="490">
        <f>SUM(R654:U658)</f>
        <v>5</v>
      </c>
      <c r="W654" s="490">
        <f>+SUM(K654:Q658)</f>
        <v>60</v>
      </c>
      <c r="X654" s="490">
        <f>(+I654*J654*W654)/12</f>
        <v>20</v>
      </c>
      <c r="Y654" s="490">
        <f t="shared" ref="Y654:AF654" si="117">IF(Y$4=$D654,$X654*Y$5,0)</f>
        <v>0</v>
      </c>
      <c r="Z654" s="490">
        <f t="shared" si="117"/>
        <v>0</v>
      </c>
      <c r="AA654" s="490">
        <f t="shared" si="117"/>
        <v>20.86</v>
      </c>
      <c r="AB654" s="490">
        <f t="shared" si="117"/>
        <v>0</v>
      </c>
      <c r="AC654" s="490">
        <f t="shared" si="117"/>
        <v>0</v>
      </c>
      <c r="AD654" s="490">
        <f t="shared" si="117"/>
        <v>0</v>
      </c>
      <c r="AE654" s="490">
        <f t="shared" si="117"/>
        <v>0</v>
      </c>
      <c r="AF654" s="490">
        <f t="shared" si="117"/>
        <v>0</v>
      </c>
      <c r="AG654" s="490"/>
      <c r="AH654" s="193"/>
    </row>
    <row r="655" spans="1:34" x14ac:dyDescent="0.25">
      <c r="A655" s="193"/>
      <c r="B655" s="491"/>
      <c r="C655" s="500"/>
      <c r="D655" s="491"/>
      <c r="E655" s="491"/>
      <c r="F655" s="491"/>
      <c r="G655" s="491"/>
      <c r="H655" s="491"/>
      <c r="I655" s="491"/>
      <c r="J655" s="491"/>
      <c r="K655" s="491"/>
      <c r="L655" s="491"/>
      <c r="M655" s="491"/>
      <c r="N655" s="491"/>
      <c r="O655" s="491"/>
      <c r="P655" s="491"/>
      <c r="Q655" s="491"/>
      <c r="R655" s="213"/>
      <c r="S655" s="215"/>
      <c r="T655" s="216"/>
      <c r="U655" s="214"/>
      <c r="V655" s="491"/>
      <c r="W655" s="491"/>
      <c r="X655" s="491"/>
      <c r="Y655" s="491"/>
      <c r="Z655" s="491"/>
      <c r="AA655" s="491"/>
      <c r="AB655" s="491"/>
      <c r="AC655" s="491"/>
      <c r="AD655" s="491"/>
      <c r="AE655" s="491"/>
      <c r="AF655" s="491"/>
      <c r="AG655" s="491"/>
      <c r="AH655" s="193"/>
    </row>
    <row r="656" spans="1:34" x14ac:dyDescent="0.25">
      <c r="A656" s="193"/>
      <c r="B656" s="491"/>
      <c r="C656" s="500"/>
      <c r="D656" s="491"/>
      <c r="E656" s="491"/>
      <c r="F656" s="491"/>
      <c r="G656" s="491"/>
      <c r="H656" s="491"/>
      <c r="I656" s="491"/>
      <c r="J656" s="491"/>
      <c r="K656" s="491"/>
      <c r="L656" s="491"/>
      <c r="M656" s="491"/>
      <c r="N656" s="491"/>
      <c r="O656" s="491"/>
      <c r="P656" s="491"/>
      <c r="Q656" s="491"/>
      <c r="R656" s="217">
        <f>K654/12</f>
        <v>2.5</v>
      </c>
      <c r="S656" s="223"/>
      <c r="T656" s="195"/>
      <c r="U656" s="219"/>
      <c r="V656" s="491"/>
      <c r="W656" s="491"/>
      <c r="X656" s="491"/>
      <c r="Y656" s="491"/>
      <c r="Z656" s="491"/>
      <c r="AA656" s="491"/>
      <c r="AB656" s="491"/>
      <c r="AC656" s="491"/>
      <c r="AD656" s="491"/>
      <c r="AE656" s="491"/>
      <c r="AF656" s="491"/>
      <c r="AG656" s="491"/>
      <c r="AH656" s="193"/>
    </row>
    <row r="657" spans="1:34" ht="15.75" thickBot="1" x14ac:dyDescent="0.3">
      <c r="A657" s="193"/>
      <c r="B657" s="491"/>
      <c r="C657" s="500"/>
      <c r="D657" s="491"/>
      <c r="E657" s="491"/>
      <c r="F657" s="491"/>
      <c r="G657" s="491"/>
      <c r="H657" s="491"/>
      <c r="I657" s="491"/>
      <c r="J657" s="491"/>
      <c r="K657" s="491"/>
      <c r="L657" s="491"/>
      <c r="M657" s="491"/>
      <c r="N657" s="491"/>
      <c r="O657" s="491"/>
      <c r="P657" s="491"/>
      <c r="Q657" s="491"/>
      <c r="R657" s="213"/>
      <c r="S657" s="224"/>
      <c r="T657" s="220"/>
      <c r="U657" s="214"/>
      <c r="V657" s="491"/>
      <c r="W657" s="491"/>
      <c r="X657" s="491"/>
      <c r="Y657" s="491"/>
      <c r="Z657" s="491"/>
      <c r="AA657" s="491"/>
      <c r="AB657" s="491"/>
      <c r="AC657" s="491"/>
      <c r="AD657" s="491"/>
      <c r="AE657" s="491"/>
      <c r="AF657" s="491"/>
      <c r="AG657" s="491"/>
      <c r="AH657" s="193"/>
    </row>
    <row r="658" spans="1:34" x14ac:dyDescent="0.25">
      <c r="A658" s="193"/>
      <c r="B658" s="492"/>
      <c r="C658" s="501"/>
      <c r="D658" s="492"/>
      <c r="E658" s="492"/>
      <c r="F658" s="492"/>
      <c r="G658" s="492"/>
      <c r="H658" s="492"/>
      <c r="I658" s="492"/>
      <c r="J658" s="492"/>
      <c r="K658" s="492"/>
      <c r="L658" s="492"/>
      <c r="M658" s="492"/>
      <c r="N658" s="492"/>
      <c r="O658" s="492"/>
      <c r="P658" s="492"/>
      <c r="Q658" s="492"/>
      <c r="R658" s="221"/>
      <c r="S658" s="493">
        <f>L654/12</f>
        <v>2.5</v>
      </c>
      <c r="T658" s="493"/>
      <c r="U658" s="222"/>
      <c r="V658" s="492"/>
      <c r="W658" s="492"/>
      <c r="X658" s="492"/>
      <c r="Y658" s="492"/>
      <c r="Z658" s="492"/>
      <c r="AA658" s="492"/>
      <c r="AB658" s="492"/>
      <c r="AC658" s="492"/>
      <c r="AD658" s="492"/>
      <c r="AE658" s="492"/>
      <c r="AF658" s="492"/>
      <c r="AG658" s="492"/>
      <c r="AH658" s="193"/>
    </row>
    <row r="659" spans="1:34" x14ac:dyDescent="0.25">
      <c r="A659" s="193"/>
      <c r="B659" s="490"/>
      <c r="C659" s="490" t="s">
        <v>277</v>
      </c>
      <c r="D659" s="490">
        <v>5</v>
      </c>
      <c r="E659" s="490">
        <v>0.625</v>
      </c>
      <c r="F659" s="494">
        <v>16</v>
      </c>
      <c r="G659" s="229"/>
      <c r="H659" s="490"/>
      <c r="I659" s="490">
        <f>ROUNDUP(G649/F659,0)</f>
        <v>26</v>
      </c>
      <c r="J659" s="490">
        <v>1</v>
      </c>
      <c r="K659" s="490">
        <v>6</v>
      </c>
      <c r="L659" s="490">
        <f>4*12-2</f>
        <v>46</v>
      </c>
      <c r="M659" s="490">
        <f>11*12</f>
        <v>132</v>
      </c>
      <c r="N659" s="490"/>
      <c r="O659" s="490"/>
      <c r="P659" s="490"/>
      <c r="Q659" s="490"/>
      <c r="R659" s="213"/>
      <c r="S659" s="498"/>
      <c r="T659" s="498"/>
      <c r="U659" s="214"/>
      <c r="V659" s="490">
        <f>SUM(R659:U663)</f>
        <v>15.333333333333334</v>
      </c>
      <c r="W659" s="490">
        <f>+SUM(K659:Q663)</f>
        <v>184</v>
      </c>
      <c r="X659" s="490">
        <f>(+I659*J659*W659)/12</f>
        <v>398.66666666666669</v>
      </c>
      <c r="Y659" s="490">
        <f t="shared" ref="Y659:AF659" si="118">IF(Y$4=$D659,$X659*Y$5,0)</f>
        <v>0</v>
      </c>
      <c r="Z659" s="490">
        <f t="shared" si="118"/>
        <v>0</v>
      </c>
      <c r="AA659" s="490">
        <f t="shared" si="118"/>
        <v>415.80933333333331</v>
      </c>
      <c r="AB659" s="490">
        <f t="shared" si="118"/>
        <v>0</v>
      </c>
      <c r="AC659" s="490">
        <f t="shared" si="118"/>
        <v>0</v>
      </c>
      <c r="AD659" s="490">
        <f t="shared" si="118"/>
        <v>0</v>
      </c>
      <c r="AE659" s="490">
        <f t="shared" si="118"/>
        <v>0</v>
      </c>
      <c r="AF659" s="490">
        <f t="shared" si="118"/>
        <v>0</v>
      </c>
      <c r="AG659" s="490"/>
      <c r="AH659" s="193"/>
    </row>
    <row r="660" spans="1:34" x14ac:dyDescent="0.25">
      <c r="A660" s="193"/>
      <c r="B660" s="491"/>
      <c r="C660" s="491"/>
      <c r="D660" s="491"/>
      <c r="E660" s="491"/>
      <c r="F660" s="495"/>
      <c r="G660" s="230"/>
      <c r="H660" s="491"/>
      <c r="I660" s="491"/>
      <c r="J660" s="491"/>
      <c r="K660" s="491"/>
      <c r="L660" s="491"/>
      <c r="M660" s="491"/>
      <c r="N660" s="491"/>
      <c r="O660" s="491"/>
      <c r="P660" s="491"/>
      <c r="Q660" s="491"/>
      <c r="R660" s="213"/>
      <c r="S660" s="215"/>
      <c r="T660" s="216"/>
      <c r="U660" s="214"/>
      <c r="V660" s="491"/>
      <c r="W660" s="491"/>
      <c r="X660" s="491"/>
      <c r="Y660" s="491"/>
      <c r="Z660" s="491"/>
      <c r="AA660" s="491"/>
      <c r="AB660" s="491"/>
      <c r="AC660" s="491"/>
      <c r="AD660" s="491"/>
      <c r="AE660" s="491"/>
      <c r="AF660" s="491"/>
      <c r="AG660" s="491"/>
      <c r="AH660" s="193"/>
    </row>
    <row r="661" spans="1:34" x14ac:dyDescent="0.25">
      <c r="A661" s="193"/>
      <c r="B661" s="491"/>
      <c r="C661" s="491"/>
      <c r="D661" s="491"/>
      <c r="E661" s="491"/>
      <c r="F661" s="495"/>
      <c r="G661" s="230"/>
      <c r="H661" s="491"/>
      <c r="I661" s="491"/>
      <c r="J661" s="491"/>
      <c r="K661" s="491"/>
      <c r="L661" s="491"/>
      <c r="M661" s="491"/>
      <c r="N661" s="491"/>
      <c r="O661" s="491"/>
      <c r="P661" s="491"/>
      <c r="Q661" s="491"/>
      <c r="R661" s="225">
        <f>K659/12</f>
        <v>0.5</v>
      </c>
      <c r="S661" s="218"/>
      <c r="T661" s="218"/>
      <c r="U661" s="219"/>
      <c r="V661" s="491"/>
      <c r="W661" s="491"/>
      <c r="X661" s="491"/>
      <c r="Y661" s="491"/>
      <c r="Z661" s="491"/>
      <c r="AA661" s="491"/>
      <c r="AB661" s="491"/>
      <c r="AC661" s="491"/>
      <c r="AD661" s="491"/>
      <c r="AE661" s="491"/>
      <c r="AF661" s="491"/>
      <c r="AG661" s="491"/>
      <c r="AH661" s="193"/>
    </row>
    <row r="662" spans="1:34" ht="15.75" thickBot="1" x14ac:dyDescent="0.3">
      <c r="A662" s="193"/>
      <c r="B662" s="491"/>
      <c r="C662" s="491"/>
      <c r="D662" s="491"/>
      <c r="E662" s="491"/>
      <c r="F662" s="495"/>
      <c r="G662" s="230"/>
      <c r="H662" s="491"/>
      <c r="I662" s="491"/>
      <c r="J662" s="491"/>
      <c r="K662" s="491"/>
      <c r="L662" s="491"/>
      <c r="M662" s="491"/>
      <c r="N662" s="491"/>
      <c r="O662" s="491"/>
      <c r="P662" s="491"/>
      <c r="Q662" s="491"/>
      <c r="R662" s="226"/>
      <c r="S662" s="220"/>
      <c r="T662" s="220"/>
      <c r="U662" s="214"/>
      <c r="V662" s="491"/>
      <c r="W662" s="491"/>
      <c r="X662" s="491"/>
      <c r="Y662" s="491"/>
      <c r="Z662" s="491"/>
      <c r="AA662" s="491"/>
      <c r="AB662" s="491"/>
      <c r="AC662" s="491"/>
      <c r="AD662" s="491"/>
      <c r="AE662" s="491"/>
      <c r="AF662" s="491"/>
      <c r="AG662" s="491"/>
      <c r="AH662" s="193"/>
    </row>
    <row r="663" spans="1:34" x14ac:dyDescent="0.25">
      <c r="A663" s="193"/>
      <c r="B663" s="492"/>
      <c r="C663" s="492"/>
      <c r="D663" s="491"/>
      <c r="E663" s="491"/>
      <c r="F663" s="496"/>
      <c r="G663" s="231"/>
      <c r="H663" s="492"/>
      <c r="I663" s="492"/>
      <c r="J663" s="492"/>
      <c r="K663" s="492"/>
      <c r="L663" s="492"/>
      <c r="M663" s="492"/>
      <c r="N663" s="492"/>
      <c r="O663" s="492"/>
      <c r="P663" s="492"/>
      <c r="Q663" s="492"/>
      <c r="R663" s="221"/>
      <c r="S663" s="493">
        <f>+SUM(L659:M663)/12</f>
        <v>14.833333333333334</v>
      </c>
      <c r="T663" s="493"/>
      <c r="U663" s="222"/>
      <c r="V663" s="492"/>
      <c r="W663" s="492"/>
      <c r="X663" s="492"/>
      <c r="Y663" s="492"/>
      <c r="Z663" s="492"/>
      <c r="AA663" s="492"/>
      <c r="AB663" s="492"/>
      <c r="AC663" s="492"/>
      <c r="AD663" s="492"/>
      <c r="AE663" s="492"/>
      <c r="AF663" s="492"/>
      <c r="AG663" s="492"/>
      <c r="AH663" s="193"/>
    </row>
    <row r="664" spans="1:34" x14ac:dyDescent="0.25">
      <c r="A664" s="193"/>
      <c r="B664" s="490"/>
      <c r="C664" s="490" t="s">
        <v>286</v>
      </c>
      <c r="D664" s="490">
        <v>5</v>
      </c>
      <c r="E664" s="490">
        <v>0.625</v>
      </c>
      <c r="F664" s="494">
        <v>16</v>
      </c>
      <c r="G664" s="229"/>
      <c r="H664" s="490"/>
      <c r="I664" s="490">
        <f>ROUNDUP(M659/F664,0)</f>
        <v>9</v>
      </c>
      <c r="J664" s="490">
        <v>1</v>
      </c>
      <c r="K664" s="490"/>
      <c r="L664" s="490">
        <f>G647-2-2</f>
        <v>409</v>
      </c>
      <c r="M664" s="490"/>
      <c r="N664" s="490"/>
      <c r="O664" s="490"/>
      <c r="P664" s="490"/>
      <c r="Q664" s="490"/>
      <c r="R664" s="213"/>
      <c r="S664" s="498"/>
      <c r="T664" s="498"/>
      <c r="U664" s="214"/>
      <c r="V664" s="490">
        <f>SUM(R664:U668)</f>
        <v>34.083333333333336</v>
      </c>
      <c r="W664" s="490">
        <f>+SUM(K664:Q668)</f>
        <v>409</v>
      </c>
      <c r="X664" s="490">
        <f>(+I664*J664*W664)/12</f>
        <v>306.75</v>
      </c>
      <c r="Y664" s="490">
        <f t="shared" ref="Y664:AF664" si="119">IF(Y$4=$D664,$X664*Y$5,0)</f>
        <v>0</v>
      </c>
      <c r="Z664" s="490">
        <f t="shared" si="119"/>
        <v>0</v>
      </c>
      <c r="AA664" s="490">
        <f t="shared" si="119"/>
        <v>319.94024999999999</v>
      </c>
      <c r="AB664" s="490">
        <f t="shared" si="119"/>
        <v>0</v>
      </c>
      <c r="AC664" s="490">
        <f t="shared" si="119"/>
        <v>0</v>
      </c>
      <c r="AD664" s="490">
        <f t="shared" si="119"/>
        <v>0</v>
      </c>
      <c r="AE664" s="490">
        <f t="shared" si="119"/>
        <v>0</v>
      </c>
      <c r="AF664" s="490">
        <f t="shared" si="119"/>
        <v>0</v>
      </c>
      <c r="AG664" s="490"/>
      <c r="AH664" s="193"/>
    </row>
    <row r="665" spans="1:34" x14ac:dyDescent="0.25">
      <c r="A665" s="193"/>
      <c r="B665" s="491"/>
      <c r="C665" s="491"/>
      <c r="D665" s="491"/>
      <c r="E665" s="491"/>
      <c r="F665" s="495"/>
      <c r="G665" s="230"/>
      <c r="H665" s="491"/>
      <c r="I665" s="491"/>
      <c r="J665" s="491"/>
      <c r="K665" s="491"/>
      <c r="L665" s="491"/>
      <c r="M665" s="491"/>
      <c r="N665" s="491"/>
      <c r="O665" s="491"/>
      <c r="P665" s="491"/>
      <c r="Q665" s="491"/>
      <c r="R665" s="213"/>
      <c r="S665" s="215"/>
      <c r="T665" s="216"/>
      <c r="U665" s="214"/>
      <c r="V665" s="491"/>
      <c r="W665" s="491"/>
      <c r="X665" s="491"/>
      <c r="Y665" s="491"/>
      <c r="Z665" s="491"/>
      <c r="AA665" s="491"/>
      <c r="AB665" s="491"/>
      <c r="AC665" s="491"/>
      <c r="AD665" s="491"/>
      <c r="AE665" s="491"/>
      <c r="AF665" s="491"/>
      <c r="AG665" s="491"/>
      <c r="AH665" s="193"/>
    </row>
    <row r="666" spans="1:34" x14ac:dyDescent="0.25">
      <c r="A666" s="193"/>
      <c r="B666" s="491"/>
      <c r="C666" s="491"/>
      <c r="D666" s="491"/>
      <c r="E666" s="491"/>
      <c r="F666" s="495"/>
      <c r="G666" s="230"/>
      <c r="H666" s="491"/>
      <c r="I666" s="491"/>
      <c r="J666" s="491"/>
      <c r="K666" s="491"/>
      <c r="L666" s="491"/>
      <c r="M666" s="491"/>
      <c r="N666" s="491"/>
      <c r="O666" s="491"/>
      <c r="P666" s="491"/>
      <c r="Q666" s="497"/>
      <c r="R666" s="217"/>
      <c r="S666" s="218"/>
      <c r="T666" s="218"/>
      <c r="U666" s="219"/>
      <c r="V666" s="491"/>
      <c r="W666" s="491"/>
      <c r="X666" s="491"/>
      <c r="Y666" s="491"/>
      <c r="Z666" s="491"/>
      <c r="AA666" s="491"/>
      <c r="AB666" s="491"/>
      <c r="AC666" s="491"/>
      <c r="AD666" s="491"/>
      <c r="AE666" s="491"/>
      <c r="AF666" s="491"/>
      <c r="AG666" s="491"/>
      <c r="AH666" s="193"/>
    </row>
    <row r="667" spans="1:34" ht="15.75" thickBot="1" x14ac:dyDescent="0.3">
      <c r="A667" s="193"/>
      <c r="B667" s="491"/>
      <c r="C667" s="491"/>
      <c r="D667" s="491"/>
      <c r="E667" s="491"/>
      <c r="F667" s="495"/>
      <c r="G667" s="230"/>
      <c r="H667" s="491"/>
      <c r="I667" s="491"/>
      <c r="J667" s="491"/>
      <c r="K667" s="491"/>
      <c r="L667" s="491"/>
      <c r="M667" s="491"/>
      <c r="N667" s="491"/>
      <c r="O667" s="491"/>
      <c r="P667" s="491"/>
      <c r="Q667" s="497"/>
      <c r="R667" s="213"/>
      <c r="S667" s="220"/>
      <c r="T667" s="220"/>
      <c r="U667" s="214"/>
      <c r="V667" s="491"/>
      <c r="W667" s="491"/>
      <c r="X667" s="491"/>
      <c r="Y667" s="491"/>
      <c r="Z667" s="491"/>
      <c r="AA667" s="491"/>
      <c r="AB667" s="491"/>
      <c r="AC667" s="491"/>
      <c r="AD667" s="491"/>
      <c r="AE667" s="491"/>
      <c r="AF667" s="491"/>
      <c r="AG667" s="491"/>
      <c r="AH667" s="193"/>
    </row>
    <row r="668" spans="1:34" x14ac:dyDescent="0.25">
      <c r="A668" s="193"/>
      <c r="B668" s="492"/>
      <c r="C668" s="492"/>
      <c r="D668" s="492"/>
      <c r="E668" s="492"/>
      <c r="F668" s="496"/>
      <c r="G668" s="231"/>
      <c r="H668" s="492"/>
      <c r="I668" s="492"/>
      <c r="J668" s="492"/>
      <c r="K668" s="492"/>
      <c r="L668" s="492"/>
      <c r="M668" s="492"/>
      <c r="N668" s="492"/>
      <c r="O668" s="492"/>
      <c r="P668" s="492"/>
      <c r="Q668" s="492"/>
      <c r="R668" s="221"/>
      <c r="S668" s="493">
        <f>L664/12</f>
        <v>34.083333333333336</v>
      </c>
      <c r="T668" s="493"/>
      <c r="U668" s="222"/>
      <c r="V668" s="492"/>
      <c r="W668" s="492"/>
      <c r="X668" s="492"/>
      <c r="Y668" s="492"/>
      <c r="Z668" s="492"/>
      <c r="AA668" s="492"/>
      <c r="AB668" s="492"/>
      <c r="AC668" s="492"/>
      <c r="AD668" s="492"/>
      <c r="AE668" s="492"/>
      <c r="AF668" s="492"/>
      <c r="AG668" s="492"/>
      <c r="AH668" s="193"/>
    </row>
    <row r="669" spans="1:34" ht="15.75" thickBot="1" x14ac:dyDescent="0.3">
      <c r="A669" s="195"/>
      <c r="B669" s="200" t="s">
        <v>266</v>
      </c>
      <c r="C669" s="199" t="s">
        <v>379</v>
      </c>
      <c r="D669" s="197">
        <v>60</v>
      </c>
      <c r="E669" s="201">
        <v>8</v>
      </c>
      <c r="F669" s="202"/>
      <c r="G669" s="202">
        <f>(5*12)+4</f>
        <v>64</v>
      </c>
      <c r="H669" s="202">
        <v>16</v>
      </c>
      <c r="I669" s="202">
        <v>12</v>
      </c>
      <c r="J669" s="202">
        <v>12</v>
      </c>
      <c r="K669" s="199"/>
      <c r="L669" s="199"/>
      <c r="M669" s="199"/>
      <c r="N669" s="199"/>
      <c r="O669" s="199"/>
      <c r="P669" s="199"/>
      <c r="Q669" s="198"/>
      <c r="R669" s="196"/>
      <c r="S669" s="196"/>
      <c r="T669" s="196"/>
      <c r="U669" s="196"/>
      <c r="V669" s="203"/>
      <c r="W669" s="202"/>
      <c r="X669" s="202"/>
      <c r="Y669" s="199"/>
      <c r="Z669" s="199"/>
      <c r="AA669" s="199"/>
      <c r="AB669" s="199"/>
      <c r="AC669" s="199"/>
      <c r="AD669" s="199"/>
      <c r="AE669" s="199"/>
      <c r="AF669" s="199"/>
      <c r="AG669" s="199"/>
      <c r="AH669" s="195"/>
    </row>
    <row r="670" spans="1:34" ht="15.75" thickBot="1" x14ac:dyDescent="0.3">
      <c r="A670" s="193"/>
      <c r="B670" s="204"/>
      <c r="C670" s="205"/>
      <c r="D670" s="194"/>
      <c r="E670" s="206"/>
      <c r="F670" s="205"/>
      <c r="G670" s="205"/>
      <c r="H670" s="207">
        <v>3</v>
      </c>
      <c r="I670" s="207">
        <v>2</v>
      </c>
      <c r="J670" s="205"/>
      <c r="K670" s="205"/>
      <c r="L670" s="205"/>
      <c r="M670" s="205"/>
      <c r="N670" s="205"/>
      <c r="O670" s="205"/>
      <c r="P670" s="205"/>
      <c r="Q670" s="208"/>
      <c r="R670" s="209"/>
      <c r="S670" s="210"/>
      <c r="T670" s="210"/>
      <c r="U670" s="211"/>
      <c r="V670" s="212"/>
      <c r="W670" s="204"/>
      <c r="X670" s="204"/>
      <c r="Y670" s="205"/>
      <c r="Z670" s="205"/>
      <c r="AA670" s="205"/>
      <c r="AB670" s="205"/>
      <c r="AC670" s="205"/>
      <c r="AD670" s="205"/>
      <c r="AE670" s="205"/>
      <c r="AF670" s="205"/>
      <c r="AG670" s="205"/>
      <c r="AH670" s="193"/>
    </row>
    <row r="671" spans="1:34" x14ac:dyDescent="0.25">
      <c r="A671" s="193"/>
      <c r="B671" s="490"/>
      <c r="C671" s="499" t="s">
        <v>265</v>
      </c>
      <c r="D671" s="490">
        <v>5</v>
      </c>
      <c r="E671" s="490">
        <v>0.625</v>
      </c>
      <c r="F671" s="490"/>
      <c r="G671" s="490">
        <f>G669</f>
        <v>64</v>
      </c>
      <c r="H671" s="490"/>
      <c r="I671" s="490">
        <v>2</v>
      </c>
      <c r="J671" s="490">
        <v>1</v>
      </c>
      <c r="K671" s="490"/>
      <c r="L671" s="490">
        <f>G669-2-2</f>
        <v>60</v>
      </c>
      <c r="M671" s="490"/>
      <c r="N671" s="490"/>
      <c r="O671" s="490"/>
      <c r="P671" s="490"/>
      <c r="Q671" s="490"/>
      <c r="R671" s="213"/>
      <c r="S671" s="502"/>
      <c r="T671" s="502"/>
      <c r="U671" s="214"/>
      <c r="V671" s="490">
        <f>SUM(R671:U675)</f>
        <v>5</v>
      </c>
      <c r="W671" s="490">
        <f>+SUM(K671:Q675)</f>
        <v>60</v>
      </c>
      <c r="X671" s="490">
        <f>(+I671*J671*W671)/12</f>
        <v>10</v>
      </c>
      <c r="Y671" s="490">
        <f>IF(Y$4=$D671,$X671*Y$5,0)</f>
        <v>0</v>
      </c>
      <c r="Z671" s="490">
        <f t="shared" ref="Z671:AF671" si="120">IF(Z$4=$D671,$X671*Z$5,0)</f>
        <v>0</v>
      </c>
      <c r="AA671" s="490">
        <f t="shared" si="120"/>
        <v>10.43</v>
      </c>
      <c r="AB671" s="490">
        <f t="shared" si="120"/>
        <v>0</v>
      </c>
      <c r="AC671" s="490">
        <f t="shared" si="120"/>
        <v>0</v>
      </c>
      <c r="AD671" s="490">
        <f t="shared" si="120"/>
        <v>0</v>
      </c>
      <c r="AE671" s="490">
        <f t="shared" si="120"/>
        <v>0</v>
      </c>
      <c r="AF671" s="490">
        <f t="shared" si="120"/>
        <v>0</v>
      </c>
      <c r="AG671" s="490"/>
      <c r="AH671" s="193"/>
    </row>
    <row r="672" spans="1:34" x14ac:dyDescent="0.25">
      <c r="A672" s="193"/>
      <c r="B672" s="491"/>
      <c r="C672" s="500"/>
      <c r="D672" s="491"/>
      <c r="E672" s="491"/>
      <c r="F672" s="491"/>
      <c r="G672" s="491"/>
      <c r="H672" s="491"/>
      <c r="I672" s="491"/>
      <c r="J672" s="491"/>
      <c r="K672" s="491"/>
      <c r="L672" s="491"/>
      <c r="M672" s="491"/>
      <c r="N672" s="491"/>
      <c r="O672" s="491"/>
      <c r="P672" s="491"/>
      <c r="Q672" s="491"/>
      <c r="R672" s="213"/>
      <c r="S672" s="215"/>
      <c r="T672" s="216"/>
      <c r="U672" s="214"/>
      <c r="V672" s="491"/>
      <c r="W672" s="491"/>
      <c r="X672" s="491"/>
      <c r="Y672" s="491"/>
      <c r="Z672" s="491"/>
      <c r="AA672" s="491"/>
      <c r="AB672" s="491"/>
      <c r="AC672" s="491"/>
      <c r="AD672" s="491"/>
      <c r="AE672" s="491"/>
      <c r="AF672" s="491"/>
      <c r="AG672" s="491"/>
      <c r="AH672" s="193"/>
    </row>
    <row r="673" spans="1:34" x14ac:dyDescent="0.25">
      <c r="A673" s="193"/>
      <c r="B673" s="491"/>
      <c r="C673" s="500"/>
      <c r="D673" s="491"/>
      <c r="E673" s="491"/>
      <c r="F673" s="491"/>
      <c r="G673" s="491"/>
      <c r="H673" s="491"/>
      <c r="I673" s="491"/>
      <c r="J673" s="491"/>
      <c r="K673" s="491"/>
      <c r="L673" s="491"/>
      <c r="M673" s="491"/>
      <c r="N673" s="491"/>
      <c r="O673" s="491"/>
      <c r="P673" s="491"/>
      <c r="Q673" s="491"/>
      <c r="R673" s="217"/>
      <c r="S673" s="218"/>
      <c r="T673" s="218"/>
      <c r="U673" s="219"/>
      <c r="V673" s="491"/>
      <c r="W673" s="491"/>
      <c r="X673" s="491"/>
      <c r="Y673" s="491"/>
      <c r="Z673" s="491"/>
      <c r="AA673" s="491"/>
      <c r="AB673" s="491"/>
      <c r="AC673" s="491"/>
      <c r="AD673" s="491"/>
      <c r="AE673" s="491"/>
      <c r="AF673" s="491"/>
      <c r="AG673" s="491"/>
      <c r="AH673" s="193"/>
    </row>
    <row r="674" spans="1:34" ht="15.75" thickBot="1" x14ac:dyDescent="0.3">
      <c r="A674" s="193"/>
      <c r="B674" s="491"/>
      <c r="C674" s="500"/>
      <c r="D674" s="491"/>
      <c r="E674" s="491"/>
      <c r="F674" s="491"/>
      <c r="G674" s="491"/>
      <c r="H674" s="491"/>
      <c r="I674" s="491"/>
      <c r="J674" s="491"/>
      <c r="K674" s="491"/>
      <c r="L674" s="491"/>
      <c r="M674" s="491"/>
      <c r="N674" s="491"/>
      <c r="O674" s="491"/>
      <c r="P674" s="491"/>
      <c r="Q674" s="491"/>
      <c r="R674" s="213"/>
      <c r="S674" s="220"/>
      <c r="T674" s="220"/>
      <c r="U674" s="214"/>
      <c r="V674" s="491"/>
      <c r="W674" s="491"/>
      <c r="X674" s="491"/>
      <c r="Y674" s="491"/>
      <c r="Z674" s="491"/>
      <c r="AA674" s="491"/>
      <c r="AB674" s="491"/>
      <c r="AC674" s="491"/>
      <c r="AD674" s="491"/>
      <c r="AE674" s="491"/>
      <c r="AF674" s="491"/>
      <c r="AG674" s="491"/>
      <c r="AH674" s="193"/>
    </row>
    <row r="675" spans="1:34" x14ac:dyDescent="0.25">
      <c r="A675" s="193"/>
      <c r="B675" s="492"/>
      <c r="C675" s="501"/>
      <c r="D675" s="492"/>
      <c r="E675" s="492"/>
      <c r="F675" s="492"/>
      <c r="G675" s="492"/>
      <c r="H675" s="492"/>
      <c r="I675" s="492"/>
      <c r="J675" s="492"/>
      <c r="K675" s="492"/>
      <c r="L675" s="492"/>
      <c r="M675" s="492"/>
      <c r="N675" s="492"/>
      <c r="O675" s="492"/>
      <c r="P675" s="492"/>
      <c r="Q675" s="492"/>
      <c r="R675" s="221"/>
      <c r="S675" s="493">
        <f>L671/12</f>
        <v>5</v>
      </c>
      <c r="T675" s="493"/>
      <c r="U675" s="222"/>
      <c r="V675" s="492"/>
      <c r="W675" s="492"/>
      <c r="X675" s="492"/>
      <c r="Y675" s="492"/>
      <c r="Z675" s="492"/>
      <c r="AA675" s="492"/>
      <c r="AB675" s="492"/>
      <c r="AC675" s="492"/>
      <c r="AD675" s="492"/>
      <c r="AE675" s="492"/>
      <c r="AF675" s="492"/>
      <c r="AG675" s="492"/>
      <c r="AH675" s="193"/>
    </row>
    <row r="676" spans="1:34" x14ac:dyDescent="0.25">
      <c r="A676" s="193"/>
      <c r="B676" s="490"/>
      <c r="C676" s="499" t="s">
        <v>271</v>
      </c>
      <c r="D676" s="490">
        <v>5</v>
      </c>
      <c r="E676" s="490">
        <v>0.625</v>
      </c>
      <c r="F676" s="490"/>
      <c r="G676" s="490"/>
      <c r="H676" s="490"/>
      <c r="I676" s="490">
        <v>2</v>
      </c>
      <c r="J676" s="490">
        <v>2</v>
      </c>
      <c r="K676" s="490">
        <v>30</v>
      </c>
      <c r="L676" s="490">
        <v>30</v>
      </c>
      <c r="M676" s="490"/>
      <c r="N676" s="490"/>
      <c r="O676" s="490"/>
      <c r="P676" s="490"/>
      <c r="Q676" s="490"/>
      <c r="R676" s="213"/>
      <c r="S676" s="498"/>
      <c r="T676" s="498"/>
      <c r="U676" s="214"/>
      <c r="V676" s="490">
        <f>SUM(R676:U680)</f>
        <v>5</v>
      </c>
      <c r="W676" s="490">
        <f>+SUM(K676:Q680)</f>
        <v>60</v>
      </c>
      <c r="X676" s="490">
        <f>(+I676*J676*W676)/12</f>
        <v>20</v>
      </c>
      <c r="Y676" s="490">
        <f t="shared" ref="Y676:AF676" si="121">IF(Y$4=$D676,$X676*Y$5,0)</f>
        <v>0</v>
      </c>
      <c r="Z676" s="490">
        <f t="shared" si="121"/>
        <v>0</v>
      </c>
      <c r="AA676" s="490">
        <f t="shared" si="121"/>
        <v>20.86</v>
      </c>
      <c r="AB676" s="490">
        <f t="shared" si="121"/>
        <v>0</v>
      </c>
      <c r="AC676" s="490">
        <f t="shared" si="121"/>
        <v>0</v>
      </c>
      <c r="AD676" s="490">
        <f t="shared" si="121"/>
        <v>0</v>
      </c>
      <c r="AE676" s="490">
        <f t="shared" si="121"/>
        <v>0</v>
      </c>
      <c r="AF676" s="490">
        <f t="shared" si="121"/>
        <v>0</v>
      </c>
      <c r="AG676" s="490"/>
      <c r="AH676" s="193"/>
    </row>
    <row r="677" spans="1:34" x14ac:dyDescent="0.25">
      <c r="A677" s="193"/>
      <c r="B677" s="491"/>
      <c r="C677" s="500"/>
      <c r="D677" s="491"/>
      <c r="E677" s="491"/>
      <c r="F677" s="491"/>
      <c r="G677" s="491"/>
      <c r="H677" s="491"/>
      <c r="I677" s="491"/>
      <c r="J677" s="491"/>
      <c r="K677" s="491"/>
      <c r="L677" s="491"/>
      <c r="M677" s="491"/>
      <c r="N677" s="491"/>
      <c r="O677" s="491"/>
      <c r="P677" s="491"/>
      <c r="Q677" s="491"/>
      <c r="R677" s="213"/>
      <c r="S677" s="215"/>
      <c r="T677" s="216"/>
      <c r="U677" s="214"/>
      <c r="V677" s="491"/>
      <c r="W677" s="491"/>
      <c r="X677" s="491"/>
      <c r="Y677" s="491"/>
      <c r="Z677" s="491"/>
      <c r="AA677" s="491"/>
      <c r="AB677" s="491"/>
      <c r="AC677" s="491"/>
      <c r="AD677" s="491"/>
      <c r="AE677" s="491"/>
      <c r="AF677" s="491"/>
      <c r="AG677" s="491"/>
      <c r="AH677" s="193"/>
    </row>
    <row r="678" spans="1:34" x14ac:dyDescent="0.25">
      <c r="A678" s="193"/>
      <c r="B678" s="491"/>
      <c r="C678" s="500"/>
      <c r="D678" s="491"/>
      <c r="E678" s="491"/>
      <c r="F678" s="491"/>
      <c r="G678" s="491"/>
      <c r="H678" s="491"/>
      <c r="I678" s="491"/>
      <c r="J678" s="491"/>
      <c r="K678" s="491"/>
      <c r="L678" s="491"/>
      <c r="M678" s="491"/>
      <c r="N678" s="491"/>
      <c r="O678" s="491"/>
      <c r="P678" s="491"/>
      <c r="Q678" s="491"/>
      <c r="R678" s="217">
        <f>K676/12</f>
        <v>2.5</v>
      </c>
      <c r="S678" s="223"/>
      <c r="T678" s="195"/>
      <c r="U678" s="219"/>
      <c r="V678" s="491"/>
      <c r="W678" s="491"/>
      <c r="X678" s="491"/>
      <c r="Y678" s="491"/>
      <c r="Z678" s="491"/>
      <c r="AA678" s="491"/>
      <c r="AB678" s="491"/>
      <c r="AC678" s="491"/>
      <c r="AD678" s="491"/>
      <c r="AE678" s="491"/>
      <c r="AF678" s="491"/>
      <c r="AG678" s="491"/>
      <c r="AH678" s="193"/>
    </row>
    <row r="679" spans="1:34" ht="15.75" thickBot="1" x14ac:dyDescent="0.3">
      <c r="A679" s="193"/>
      <c r="B679" s="491"/>
      <c r="C679" s="500"/>
      <c r="D679" s="491"/>
      <c r="E679" s="491"/>
      <c r="F679" s="491"/>
      <c r="G679" s="491"/>
      <c r="H679" s="491"/>
      <c r="I679" s="491"/>
      <c r="J679" s="491"/>
      <c r="K679" s="491"/>
      <c r="L679" s="491"/>
      <c r="M679" s="491"/>
      <c r="N679" s="491"/>
      <c r="O679" s="491"/>
      <c r="P679" s="491"/>
      <c r="Q679" s="491"/>
      <c r="R679" s="213"/>
      <c r="S679" s="224"/>
      <c r="T679" s="220"/>
      <c r="U679" s="214"/>
      <c r="V679" s="491"/>
      <c r="W679" s="491"/>
      <c r="X679" s="491"/>
      <c r="Y679" s="491"/>
      <c r="Z679" s="491"/>
      <c r="AA679" s="491"/>
      <c r="AB679" s="491"/>
      <c r="AC679" s="491"/>
      <c r="AD679" s="491"/>
      <c r="AE679" s="491"/>
      <c r="AF679" s="491"/>
      <c r="AG679" s="491"/>
      <c r="AH679" s="193"/>
    </row>
    <row r="680" spans="1:34" x14ac:dyDescent="0.25">
      <c r="A680" s="193"/>
      <c r="B680" s="492"/>
      <c r="C680" s="501"/>
      <c r="D680" s="492"/>
      <c r="E680" s="492"/>
      <c r="F680" s="492"/>
      <c r="G680" s="492"/>
      <c r="H680" s="492"/>
      <c r="I680" s="492"/>
      <c r="J680" s="492"/>
      <c r="K680" s="492"/>
      <c r="L680" s="492"/>
      <c r="M680" s="492"/>
      <c r="N680" s="492"/>
      <c r="O680" s="492"/>
      <c r="P680" s="492"/>
      <c r="Q680" s="492"/>
      <c r="R680" s="221"/>
      <c r="S680" s="493">
        <f>L676/12</f>
        <v>2.5</v>
      </c>
      <c r="T680" s="493"/>
      <c r="U680" s="222"/>
      <c r="V680" s="492"/>
      <c r="W680" s="492"/>
      <c r="X680" s="492"/>
      <c r="Y680" s="492"/>
      <c r="Z680" s="492"/>
      <c r="AA680" s="492"/>
      <c r="AB680" s="492"/>
      <c r="AC680" s="492"/>
      <c r="AD680" s="492"/>
      <c r="AE680" s="492"/>
      <c r="AF680" s="492"/>
      <c r="AG680" s="492"/>
      <c r="AH680" s="193"/>
    </row>
    <row r="681" spans="1:34" x14ac:dyDescent="0.25">
      <c r="A681" s="193"/>
      <c r="B681" s="490"/>
      <c r="C681" s="490" t="s">
        <v>277</v>
      </c>
      <c r="D681" s="490">
        <v>5</v>
      </c>
      <c r="E681" s="490">
        <v>0.625</v>
      </c>
      <c r="F681" s="494">
        <v>16</v>
      </c>
      <c r="G681" s="229"/>
      <c r="H681" s="490"/>
      <c r="I681" s="490">
        <f>ROUNDUP(G671/F681,0)</f>
        <v>4</v>
      </c>
      <c r="J681" s="490">
        <v>1</v>
      </c>
      <c r="K681" s="490">
        <v>6</v>
      </c>
      <c r="L681" s="490">
        <f>4*12-2</f>
        <v>46</v>
      </c>
      <c r="M681" s="490">
        <f>11*12</f>
        <v>132</v>
      </c>
      <c r="N681" s="490"/>
      <c r="O681" s="490"/>
      <c r="P681" s="490"/>
      <c r="Q681" s="490"/>
      <c r="R681" s="213"/>
      <c r="S681" s="498"/>
      <c r="T681" s="498"/>
      <c r="U681" s="214"/>
      <c r="V681" s="490">
        <f>SUM(R681:U685)</f>
        <v>15.333333333333334</v>
      </c>
      <c r="W681" s="490">
        <f>+SUM(K681:Q685)</f>
        <v>184</v>
      </c>
      <c r="X681" s="490">
        <f>(+I681*J681*W681)/12</f>
        <v>61.333333333333336</v>
      </c>
      <c r="Y681" s="490">
        <f t="shared" ref="Y681:AF681" si="122">IF(Y$4=$D681,$X681*Y$5,0)</f>
        <v>0</v>
      </c>
      <c r="Z681" s="490">
        <f t="shared" si="122"/>
        <v>0</v>
      </c>
      <c r="AA681" s="490">
        <f t="shared" si="122"/>
        <v>63.970666666666666</v>
      </c>
      <c r="AB681" s="490">
        <f t="shared" si="122"/>
        <v>0</v>
      </c>
      <c r="AC681" s="490">
        <f t="shared" si="122"/>
        <v>0</v>
      </c>
      <c r="AD681" s="490">
        <f t="shared" si="122"/>
        <v>0</v>
      </c>
      <c r="AE681" s="490">
        <f t="shared" si="122"/>
        <v>0</v>
      </c>
      <c r="AF681" s="490">
        <f t="shared" si="122"/>
        <v>0</v>
      </c>
      <c r="AG681" s="490"/>
      <c r="AH681" s="193"/>
    </row>
    <row r="682" spans="1:34" x14ac:dyDescent="0.25">
      <c r="A682" s="193"/>
      <c r="B682" s="491"/>
      <c r="C682" s="491"/>
      <c r="D682" s="491"/>
      <c r="E682" s="491"/>
      <c r="F682" s="495"/>
      <c r="G682" s="230"/>
      <c r="H682" s="491"/>
      <c r="I682" s="491"/>
      <c r="J682" s="491"/>
      <c r="K682" s="491"/>
      <c r="L682" s="491"/>
      <c r="M682" s="491"/>
      <c r="N682" s="491"/>
      <c r="O682" s="491"/>
      <c r="P682" s="491"/>
      <c r="Q682" s="491"/>
      <c r="R682" s="213"/>
      <c r="S682" s="215"/>
      <c r="T682" s="216"/>
      <c r="U682" s="214"/>
      <c r="V682" s="491"/>
      <c r="W682" s="491"/>
      <c r="X682" s="491"/>
      <c r="Y682" s="491"/>
      <c r="Z682" s="491"/>
      <c r="AA682" s="491"/>
      <c r="AB682" s="491"/>
      <c r="AC682" s="491"/>
      <c r="AD682" s="491"/>
      <c r="AE682" s="491"/>
      <c r="AF682" s="491"/>
      <c r="AG682" s="491"/>
      <c r="AH682" s="193"/>
    </row>
    <row r="683" spans="1:34" x14ac:dyDescent="0.25">
      <c r="A683" s="193"/>
      <c r="B683" s="491"/>
      <c r="C683" s="491"/>
      <c r="D683" s="491"/>
      <c r="E683" s="491"/>
      <c r="F683" s="495"/>
      <c r="G683" s="230"/>
      <c r="H683" s="491"/>
      <c r="I683" s="491"/>
      <c r="J683" s="491"/>
      <c r="K683" s="491"/>
      <c r="L683" s="491"/>
      <c r="M683" s="491"/>
      <c r="N683" s="491"/>
      <c r="O683" s="491"/>
      <c r="P683" s="491"/>
      <c r="Q683" s="491"/>
      <c r="R683" s="225">
        <f>K681/12</f>
        <v>0.5</v>
      </c>
      <c r="S683" s="218"/>
      <c r="T683" s="218"/>
      <c r="U683" s="219"/>
      <c r="V683" s="491"/>
      <c r="W683" s="491"/>
      <c r="X683" s="491"/>
      <c r="Y683" s="491"/>
      <c r="Z683" s="491"/>
      <c r="AA683" s="491"/>
      <c r="AB683" s="491"/>
      <c r="AC683" s="491"/>
      <c r="AD683" s="491"/>
      <c r="AE683" s="491"/>
      <c r="AF683" s="491"/>
      <c r="AG683" s="491"/>
      <c r="AH683" s="193"/>
    </row>
    <row r="684" spans="1:34" ht="15.75" thickBot="1" x14ac:dyDescent="0.3">
      <c r="A684" s="193"/>
      <c r="B684" s="491"/>
      <c r="C684" s="491"/>
      <c r="D684" s="491"/>
      <c r="E684" s="491"/>
      <c r="F684" s="495"/>
      <c r="G684" s="230"/>
      <c r="H684" s="491"/>
      <c r="I684" s="491"/>
      <c r="J684" s="491"/>
      <c r="K684" s="491"/>
      <c r="L684" s="491"/>
      <c r="M684" s="491"/>
      <c r="N684" s="491"/>
      <c r="O684" s="491"/>
      <c r="P684" s="491"/>
      <c r="Q684" s="491"/>
      <c r="R684" s="226"/>
      <c r="S684" s="220"/>
      <c r="T684" s="220"/>
      <c r="U684" s="214"/>
      <c r="V684" s="491"/>
      <c r="W684" s="491"/>
      <c r="X684" s="491"/>
      <c r="Y684" s="491"/>
      <c r="Z684" s="491"/>
      <c r="AA684" s="491"/>
      <c r="AB684" s="491"/>
      <c r="AC684" s="491"/>
      <c r="AD684" s="491"/>
      <c r="AE684" s="491"/>
      <c r="AF684" s="491"/>
      <c r="AG684" s="491"/>
      <c r="AH684" s="193"/>
    </row>
    <row r="685" spans="1:34" x14ac:dyDescent="0.25">
      <c r="A685" s="193"/>
      <c r="B685" s="492"/>
      <c r="C685" s="492"/>
      <c r="D685" s="491"/>
      <c r="E685" s="491"/>
      <c r="F685" s="496"/>
      <c r="G685" s="231"/>
      <c r="H685" s="492"/>
      <c r="I685" s="492"/>
      <c r="J685" s="492"/>
      <c r="K685" s="492"/>
      <c r="L685" s="492"/>
      <c r="M685" s="492"/>
      <c r="N685" s="492"/>
      <c r="O685" s="492"/>
      <c r="P685" s="492"/>
      <c r="Q685" s="492"/>
      <c r="R685" s="221"/>
      <c r="S685" s="493">
        <f>+SUM(L681:M685)/12</f>
        <v>14.833333333333334</v>
      </c>
      <c r="T685" s="493"/>
      <c r="U685" s="222"/>
      <c r="V685" s="492"/>
      <c r="W685" s="492"/>
      <c r="X685" s="492"/>
      <c r="Y685" s="492"/>
      <c r="Z685" s="492"/>
      <c r="AA685" s="492"/>
      <c r="AB685" s="492"/>
      <c r="AC685" s="492"/>
      <c r="AD685" s="492"/>
      <c r="AE685" s="492"/>
      <c r="AF685" s="492"/>
      <c r="AG685" s="492"/>
      <c r="AH685" s="193"/>
    </row>
    <row r="686" spans="1:34" x14ac:dyDescent="0.25">
      <c r="A686" s="193"/>
      <c r="B686" s="490"/>
      <c r="C686" s="490" t="s">
        <v>286</v>
      </c>
      <c r="D686" s="490">
        <v>5</v>
      </c>
      <c r="E686" s="490">
        <v>0.625</v>
      </c>
      <c r="F686" s="494">
        <v>16</v>
      </c>
      <c r="G686" s="229"/>
      <c r="H686" s="490"/>
      <c r="I686" s="490">
        <f>ROUNDUP(M681/F686,0)</f>
        <v>9</v>
      </c>
      <c r="J686" s="490">
        <v>1</v>
      </c>
      <c r="K686" s="490"/>
      <c r="L686" s="490">
        <f>G669-2-2</f>
        <v>60</v>
      </c>
      <c r="M686" s="490"/>
      <c r="N686" s="490"/>
      <c r="O686" s="490"/>
      <c r="P686" s="490"/>
      <c r="Q686" s="490"/>
      <c r="R686" s="213"/>
      <c r="S686" s="498"/>
      <c r="T686" s="498"/>
      <c r="U686" s="214"/>
      <c r="V686" s="490">
        <f>SUM(R686:U690)</f>
        <v>5</v>
      </c>
      <c r="W686" s="490">
        <f>+SUM(K686:Q690)</f>
        <v>60</v>
      </c>
      <c r="X686" s="490">
        <f>(+I686*J686*W686)/12</f>
        <v>45</v>
      </c>
      <c r="Y686" s="490">
        <f t="shared" ref="Y686:AF686" si="123">IF(Y$4=$D686,$X686*Y$5,0)</f>
        <v>0</v>
      </c>
      <c r="Z686" s="490">
        <f t="shared" si="123"/>
        <v>0</v>
      </c>
      <c r="AA686" s="490">
        <f t="shared" si="123"/>
        <v>46.934999999999995</v>
      </c>
      <c r="AB686" s="490">
        <f t="shared" si="123"/>
        <v>0</v>
      </c>
      <c r="AC686" s="490">
        <f t="shared" si="123"/>
        <v>0</v>
      </c>
      <c r="AD686" s="490">
        <f t="shared" si="123"/>
        <v>0</v>
      </c>
      <c r="AE686" s="490">
        <f t="shared" si="123"/>
        <v>0</v>
      </c>
      <c r="AF686" s="490">
        <f t="shared" si="123"/>
        <v>0</v>
      </c>
      <c r="AG686" s="490"/>
      <c r="AH686" s="193"/>
    </row>
    <row r="687" spans="1:34" x14ac:dyDescent="0.25">
      <c r="A687" s="193"/>
      <c r="B687" s="491"/>
      <c r="C687" s="491"/>
      <c r="D687" s="491"/>
      <c r="E687" s="491"/>
      <c r="F687" s="495"/>
      <c r="G687" s="230"/>
      <c r="H687" s="491"/>
      <c r="I687" s="491"/>
      <c r="J687" s="491"/>
      <c r="K687" s="491"/>
      <c r="L687" s="491"/>
      <c r="M687" s="491"/>
      <c r="N687" s="491"/>
      <c r="O687" s="491"/>
      <c r="P687" s="491"/>
      <c r="Q687" s="491"/>
      <c r="R687" s="213"/>
      <c r="S687" s="215"/>
      <c r="T687" s="216"/>
      <c r="U687" s="214"/>
      <c r="V687" s="491"/>
      <c r="W687" s="491"/>
      <c r="X687" s="491"/>
      <c r="Y687" s="491"/>
      <c r="Z687" s="491"/>
      <c r="AA687" s="491"/>
      <c r="AB687" s="491"/>
      <c r="AC687" s="491"/>
      <c r="AD687" s="491"/>
      <c r="AE687" s="491"/>
      <c r="AF687" s="491"/>
      <c r="AG687" s="491"/>
      <c r="AH687" s="193"/>
    </row>
    <row r="688" spans="1:34" x14ac:dyDescent="0.25">
      <c r="A688" s="193"/>
      <c r="B688" s="491"/>
      <c r="C688" s="491"/>
      <c r="D688" s="491"/>
      <c r="E688" s="491"/>
      <c r="F688" s="495"/>
      <c r="G688" s="230"/>
      <c r="H688" s="491"/>
      <c r="I688" s="491"/>
      <c r="J688" s="491"/>
      <c r="K688" s="491"/>
      <c r="L688" s="491"/>
      <c r="M688" s="491"/>
      <c r="N688" s="491"/>
      <c r="O688" s="491"/>
      <c r="P688" s="491"/>
      <c r="Q688" s="497"/>
      <c r="R688" s="217"/>
      <c r="S688" s="218"/>
      <c r="T688" s="218"/>
      <c r="U688" s="219"/>
      <c r="V688" s="491"/>
      <c r="W688" s="491"/>
      <c r="X688" s="491"/>
      <c r="Y688" s="491"/>
      <c r="Z688" s="491"/>
      <c r="AA688" s="491"/>
      <c r="AB688" s="491"/>
      <c r="AC688" s="491"/>
      <c r="AD688" s="491"/>
      <c r="AE688" s="491"/>
      <c r="AF688" s="491"/>
      <c r="AG688" s="491"/>
      <c r="AH688" s="193"/>
    </row>
    <row r="689" spans="1:34" ht="15.75" thickBot="1" x14ac:dyDescent="0.3">
      <c r="A689" s="193"/>
      <c r="B689" s="491"/>
      <c r="C689" s="491"/>
      <c r="D689" s="491"/>
      <c r="E689" s="491"/>
      <c r="F689" s="495"/>
      <c r="G689" s="230"/>
      <c r="H689" s="491"/>
      <c r="I689" s="491"/>
      <c r="J689" s="491"/>
      <c r="K689" s="491"/>
      <c r="L689" s="491"/>
      <c r="M689" s="491"/>
      <c r="N689" s="491"/>
      <c r="O689" s="491"/>
      <c r="P689" s="491"/>
      <c r="Q689" s="497"/>
      <c r="R689" s="213"/>
      <c r="S689" s="220"/>
      <c r="T689" s="220"/>
      <c r="U689" s="214"/>
      <c r="V689" s="491"/>
      <c r="W689" s="491"/>
      <c r="X689" s="491"/>
      <c r="Y689" s="491"/>
      <c r="Z689" s="491"/>
      <c r="AA689" s="491"/>
      <c r="AB689" s="491"/>
      <c r="AC689" s="491"/>
      <c r="AD689" s="491"/>
      <c r="AE689" s="491"/>
      <c r="AF689" s="491"/>
      <c r="AG689" s="491"/>
      <c r="AH689" s="193"/>
    </row>
    <row r="690" spans="1:34" x14ac:dyDescent="0.25">
      <c r="A690" s="193"/>
      <c r="B690" s="492"/>
      <c r="C690" s="492"/>
      <c r="D690" s="492"/>
      <c r="E690" s="492"/>
      <c r="F690" s="496"/>
      <c r="G690" s="231"/>
      <c r="H690" s="492"/>
      <c r="I690" s="492"/>
      <c r="J690" s="492"/>
      <c r="K690" s="492"/>
      <c r="L690" s="492"/>
      <c r="M690" s="492"/>
      <c r="N690" s="492"/>
      <c r="O690" s="492"/>
      <c r="P690" s="492"/>
      <c r="Q690" s="492"/>
      <c r="R690" s="221"/>
      <c r="S690" s="493">
        <f>L686/12</f>
        <v>5</v>
      </c>
      <c r="T690" s="493"/>
      <c r="U690" s="222"/>
      <c r="V690" s="492"/>
      <c r="W690" s="492"/>
      <c r="X690" s="492"/>
      <c r="Y690" s="492"/>
      <c r="Z690" s="492"/>
      <c r="AA690" s="492"/>
      <c r="AB690" s="492"/>
      <c r="AC690" s="492"/>
      <c r="AD690" s="492"/>
      <c r="AE690" s="492"/>
      <c r="AF690" s="492"/>
      <c r="AG690" s="492"/>
      <c r="AH690" s="193"/>
    </row>
    <row r="691" spans="1:34" ht="15.75" thickBot="1" x14ac:dyDescent="0.3">
      <c r="A691" s="195"/>
      <c r="B691" s="200" t="s">
        <v>267</v>
      </c>
      <c r="C691" s="199" t="s">
        <v>379</v>
      </c>
      <c r="D691" s="197">
        <v>60</v>
      </c>
      <c r="E691" s="201">
        <v>8</v>
      </c>
      <c r="F691" s="202"/>
      <c r="G691" s="202">
        <f>(13*12)+4</f>
        <v>160</v>
      </c>
      <c r="H691" s="202">
        <v>16</v>
      </c>
      <c r="I691" s="202">
        <v>12</v>
      </c>
      <c r="J691" s="202">
        <v>12</v>
      </c>
      <c r="K691" s="199"/>
      <c r="L691" s="199"/>
      <c r="M691" s="199"/>
      <c r="N691" s="199"/>
      <c r="O691" s="199"/>
      <c r="P691" s="199"/>
      <c r="Q691" s="198"/>
      <c r="R691" s="196"/>
      <c r="S691" s="196"/>
      <c r="T691" s="196"/>
      <c r="U691" s="196"/>
      <c r="V691" s="203"/>
      <c r="W691" s="202"/>
      <c r="X691" s="202"/>
      <c r="Y691" s="199"/>
      <c r="Z691" s="199"/>
      <c r="AA691" s="199"/>
      <c r="AB691" s="199"/>
      <c r="AC691" s="199"/>
      <c r="AD691" s="199"/>
      <c r="AE691" s="199"/>
      <c r="AF691" s="199"/>
      <c r="AG691" s="199"/>
      <c r="AH691" s="195"/>
    </row>
    <row r="692" spans="1:34" ht="15.75" thickBot="1" x14ac:dyDescent="0.3">
      <c r="A692" s="193"/>
      <c r="B692" s="204"/>
      <c r="C692" s="205"/>
      <c r="D692" s="194"/>
      <c r="E692" s="206"/>
      <c r="F692" s="205"/>
      <c r="G692" s="205"/>
      <c r="H692" s="207">
        <v>3</v>
      </c>
      <c r="I692" s="207">
        <v>2</v>
      </c>
      <c r="J692" s="205"/>
      <c r="K692" s="205"/>
      <c r="L692" s="205"/>
      <c r="M692" s="205"/>
      <c r="N692" s="205"/>
      <c r="O692" s="205"/>
      <c r="P692" s="205"/>
      <c r="Q692" s="208"/>
      <c r="R692" s="209"/>
      <c r="S692" s="210"/>
      <c r="T692" s="210"/>
      <c r="U692" s="211"/>
      <c r="V692" s="212"/>
      <c r="W692" s="204"/>
      <c r="X692" s="204"/>
      <c r="Y692" s="205"/>
      <c r="Z692" s="205"/>
      <c r="AA692" s="205"/>
      <c r="AB692" s="205"/>
      <c r="AC692" s="205"/>
      <c r="AD692" s="205"/>
      <c r="AE692" s="205"/>
      <c r="AF692" s="205"/>
      <c r="AG692" s="205"/>
      <c r="AH692" s="193"/>
    </row>
    <row r="693" spans="1:34" x14ac:dyDescent="0.25">
      <c r="A693" s="193"/>
      <c r="B693" s="490"/>
      <c r="C693" s="499" t="s">
        <v>265</v>
      </c>
      <c r="D693" s="490">
        <v>5</v>
      </c>
      <c r="E693" s="490">
        <v>0.625</v>
      </c>
      <c r="F693" s="490"/>
      <c r="G693" s="490">
        <f>G691</f>
        <v>160</v>
      </c>
      <c r="H693" s="490"/>
      <c r="I693" s="490">
        <v>2</v>
      </c>
      <c r="J693" s="490">
        <v>1</v>
      </c>
      <c r="K693" s="490"/>
      <c r="L693" s="490">
        <f>G691-2-2</f>
        <v>156</v>
      </c>
      <c r="M693" s="490"/>
      <c r="N693" s="490"/>
      <c r="O693" s="490"/>
      <c r="P693" s="490"/>
      <c r="Q693" s="490"/>
      <c r="R693" s="213"/>
      <c r="S693" s="502"/>
      <c r="T693" s="502"/>
      <c r="U693" s="214"/>
      <c r="V693" s="490">
        <f>SUM(R693:U697)</f>
        <v>13</v>
      </c>
      <c r="W693" s="490">
        <f>+SUM(K693:Q697)</f>
        <v>156</v>
      </c>
      <c r="X693" s="490">
        <f>(+I693*J693*W693)/12</f>
        <v>26</v>
      </c>
      <c r="Y693" s="490">
        <f>IF(Y$4=$D693,$X693*Y$5,0)</f>
        <v>0</v>
      </c>
      <c r="Z693" s="490">
        <f t="shared" ref="Z693:AF693" si="124">IF(Z$4=$D693,$X693*Z$5,0)</f>
        <v>0</v>
      </c>
      <c r="AA693" s="490">
        <f t="shared" si="124"/>
        <v>27.117999999999999</v>
      </c>
      <c r="AB693" s="490">
        <f t="shared" si="124"/>
        <v>0</v>
      </c>
      <c r="AC693" s="490">
        <f t="shared" si="124"/>
        <v>0</v>
      </c>
      <c r="AD693" s="490">
        <f t="shared" si="124"/>
        <v>0</v>
      </c>
      <c r="AE693" s="490">
        <f t="shared" si="124"/>
        <v>0</v>
      </c>
      <c r="AF693" s="490">
        <f t="shared" si="124"/>
        <v>0</v>
      </c>
      <c r="AG693" s="490"/>
      <c r="AH693" s="193"/>
    </row>
    <row r="694" spans="1:34" x14ac:dyDescent="0.25">
      <c r="A694" s="193"/>
      <c r="B694" s="491"/>
      <c r="C694" s="500"/>
      <c r="D694" s="491"/>
      <c r="E694" s="491"/>
      <c r="F694" s="491"/>
      <c r="G694" s="491"/>
      <c r="H694" s="491"/>
      <c r="I694" s="491"/>
      <c r="J694" s="491"/>
      <c r="K694" s="491"/>
      <c r="L694" s="491"/>
      <c r="M694" s="491"/>
      <c r="N694" s="491"/>
      <c r="O694" s="491"/>
      <c r="P694" s="491"/>
      <c r="Q694" s="491"/>
      <c r="R694" s="213"/>
      <c r="S694" s="215"/>
      <c r="T694" s="216"/>
      <c r="U694" s="214"/>
      <c r="V694" s="491"/>
      <c r="W694" s="491"/>
      <c r="X694" s="491"/>
      <c r="Y694" s="491"/>
      <c r="Z694" s="491"/>
      <c r="AA694" s="491"/>
      <c r="AB694" s="491"/>
      <c r="AC694" s="491"/>
      <c r="AD694" s="491"/>
      <c r="AE694" s="491"/>
      <c r="AF694" s="491"/>
      <c r="AG694" s="491"/>
      <c r="AH694" s="193"/>
    </row>
    <row r="695" spans="1:34" x14ac:dyDescent="0.25">
      <c r="A695" s="193"/>
      <c r="B695" s="491"/>
      <c r="C695" s="500"/>
      <c r="D695" s="491"/>
      <c r="E695" s="491"/>
      <c r="F695" s="491"/>
      <c r="G695" s="491"/>
      <c r="H695" s="491"/>
      <c r="I695" s="491"/>
      <c r="J695" s="491"/>
      <c r="K695" s="491"/>
      <c r="L695" s="491"/>
      <c r="M695" s="491"/>
      <c r="N695" s="491"/>
      <c r="O695" s="491"/>
      <c r="P695" s="491"/>
      <c r="Q695" s="491"/>
      <c r="R695" s="217"/>
      <c r="S695" s="218"/>
      <c r="T695" s="218"/>
      <c r="U695" s="219"/>
      <c r="V695" s="491"/>
      <c r="W695" s="491"/>
      <c r="X695" s="491"/>
      <c r="Y695" s="491"/>
      <c r="Z695" s="491"/>
      <c r="AA695" s="491"/>
      <c r="AB695" s="491"/>
      <c r="AC695" s="491"/>
      <c r="AD695" s="491"/>
      <c r="AE695" s="491"/>
      <c r="AF695" s="491"/>
      <c r="AG695" s="491"/>
      <c r="AH695" s="193"/>
    </row>
    <row r="696" spans="1:34" ht="15.75" thickBot="1" x14ac:dyDescent="0.3">
      <c r="A696" s="193"/>
      <c r="B696" s="491"/>
      <c r="C696" s="500"/>
      <c r="D696" s="491"/>
      <c r="E696" s="491"/>
      <c r="F696" s="491"/>
      <c r="G696" s="491"/>
      <c r="H696" s="491"/>
      <c r="I696" s="491"/>
      <c r="J696" s="491"/>
      <c r="K696" s="491"/>
      <c r="L696" s="491"/>
      <c r="M696" s="491"/>
      <c r="N696" s="491"/>
      <c r="O696" s="491"/>
      <c r="P696" s="491"/>
      <c r="Q696" s="491"/>
      <c r="R696" s="213"/>
      <c r="S696" s="220"/>
      <c r="T696" s="220"/>
      <c r="U696" s="214"/>
      <c r="V696" s="491"/>
      <c r="W696" s="491"/>
      <c r="X696" s="491"/>
      <c r="Y696" s="491"/>
      <c r="Z696" s="491"/>
      <c r="AA696" s="491"/>
      <c r="AB696" s="491"/>
      <c r="AC696" s="491"/>
      <c r="AD696" s="491"/>
      <c r="AE696" s="491"/>
      <c r="AF696" s="491"/>
      <c r="AG696" s="491"/>
      <c r="AH696" s="193"/>
    </row>
    <row r="697" spans="1:34" x14ac:dyDescent="0.25">
      <c r="A697" s="193"/>
      <c r="B697" s="492"/>
      <c r="C697" s="501"/>
      <c r="D697" s="492"/>
      <c r="E697" s="492"/>
      <c r="F697" s="492"/>
      <c r="G697" s="492"/>
      <c r="H697" s="492"/>
      <c r="I697" s="492"/>
      <c r="J697" s="492"/>
      <c r="K697" s="492"/>
      <c r="L697" s="492"/>
      <c r="M697" s="492"/>
      <c r="N697" s="492"/>
      <c r="O697" s="492"/>
      <c r="P697" s="492"/>
      <c r="Q697" s="492"/>
      <c r="R697" s="221"/>
      <c r="S697" s="493">
        <f>L693/12</f>
        <v>13</v>
      </c>
      <c r="T697" s="493"/>
      <c r="U697" s="222"/>
      <c r="V697" s="492"/>
      <c r="W697" s="492"/>
      <c r="X697" s="492"/>
      <c r="Y697" s="492"/>
      <c r="Z697" s="492"/>
      <c r="AA697" s="492"/>
      <c r="AB697" s="492"/>
      <c r="AC697" s="492"/>
      <c r="AD697" s="492"/>
      <c r="AE697" s="492"/>
      <c r="AF697" s="492"/>
      <c r="AG697" s="492"/>
      <c r="AH697" s="193"/>
    </row>
    <row r="698" spans="1:34" x14ac:dyDescent="0.25">
      <c r="A698" s="193"/>
      <c r="B698" s="490"/>
      <c r="C698" s="499" t="s">
        <v>271</v>
      </c>
      <c r="D698" s="490">
        <v>5</v>
      </c>
      <c r="E698" s="490">
        <v>0.625</v>
      </c>
      <c r="F698" s="490"/>
      <c r="G698" s="490"/>
      <c r="H698" s="490"/>
      <c r="I698" s="490">
        <v>2</v>
      </c>
      <c r="J698" s="490">
        <v>2</v>
      </c>
      <c r="K698" s="490">
        <v>30</v>
      </c>
      <c r="L698" s="490">
        <v>30</v>
      </c>
      <c r="M698" s="490"/>
      <c r="N698" s="490"/>
      <c r="O698" s="490"/>
      <c r="P698" s="490"/>
      <c r="Q698" s="490"/>
      <c r="R698" s="213"/>
      <c r="S698" s="498"/>
      <c r="T698" s="498"/>
      <c r="U698" s="214"/>
      <c r="V698" s="490">
        <f>SUM(R698:U702)</f>
        <v>5</v>
      </c>
      <c r="W698" s="490">
        <f>+SUM(K698:Q702)</f>
        <v>60</v>
      </c>
      <c r="X698" s="490">
        <f>(+I698*J698*W698)/12</f>
        <v>20</v>
      </c>
      <c r="Y698" s="490">
        <f t="shared" ref="Y698:AF698" si="125">IF(Y$4=$D698,$X698*Y$5,0)</f>
        <v>0</v>
      </c>
      <c r="Z698" s="490">
        <f t="shared" si="125"/>
        <v>0</v>
      </c>
      <c r="AA698" s="490">
        <f t="shared" si="125"/>
        <v>20.86</v>
      </c>
      <c r="AB698" s="490">
        <f t="shared" si="125"/>
        <v>0</v>
      </c>
      <c r="AC698" s="490">
        <f t="shared" si="125"/>
        <v>0</v>
      </c>
      <c r="AD698" s="490">
        <f t="shared" si="125"/>
        <v>0</v>
      </c>
      <c r="AE698" s="490">
        <f t="shared" si="125"/>
        <v>0</v>
      </c>
      <c r="AF698" s="490">
        <f t="shared" si="125"/>
        <v>0</v>
      </c>
      <c r="AG698" s="490"/>
      <c r="AH698" s="193"/>
    </row>
    <row r="699" spans="1:34" x14ac:dyDescent="0.25">
      <c r="A699" s="193"/>
      <c r="B699" s="491"/>
      <c r="C699" s="500"/>
      <c r="D699" s="491"/>
      <c r="E699" s="491"/>
      <c r="F699" s="491"/>
      <c r="G699" s="491"/>
      <c r="H699" s="491"/>
      <c r="I699" s="491"/>
      <c r="J699" s="491"/>
      <c r="K699" s="491"/>
      <c r="L699" s="491"/>
      <c r="M699" s="491"/>
      <c r="N699" s="491"/>
      <c r="O699" s="491"/>
      <c r="P699" s="491"/>
      <c r="Q699" s="491"/>
      <c r="R699" s="213"/>
      <c r="S699" s="215"/>
      <c r="T699" s="216"/>
      <c r="U699" s="214"/>
      <c r="V699" s="491"/>
      <c r="W699" s="491"/>
      <c r="X699" s="491"/>
      <c r="Y699" s="491"/>
      <c r="Z699" s="491"/>
      <c r="AA699" s="491"/>
      <c r="AB699" s="491"/>
      <c r="AC699" s="491"/>
      <c r="AD699" s="491"/>
      <c r="AE699" s="491"/>
      <c r="AF699" s="491"/>
      <c r="AG699" s="491"/>
      <c r="AH699" s="193"/>
    </row>
    <row r="700" spans="1:34" x14ac:dyDescent="0.25">
      <c r="A700" s="193"/>
      <c r="B700" s="491"/>
      <c r="C700" s="500"/>
      <c r="D700" s="491"/>
      <c r="E700" s="491"/>
      <c r="F700" s="491"/>
      <c r="G700" s="491"/>
      <c r="H700" s="491"/>
      <c r="I700" s="491"/>
      <c r="J700" s="491"/>
      <c r="K700" s="491"/>
      <c r="L700" s="491"/>
      <c r="M700" s="491"/>
      <c r="N700" s="491"/>
      <c r="O700" s="491"/>
      <c r="P700" s="491"/>
      <c r="Q700" s="491"/>
      <c r="R700" s="217">
        <f>K698/12</f>
        <v>2.5</v>
      </c>
      <c r="S700" s="223"/>
      <c r="T700" s="195"/>
      <c r="U700" s="219"/>
      <c r="V700" s="491"/>
      <c r="W700" s="491"/>
      <c r="X700" s="491"/>
      <c r="Y700" s="491"/>
      <c r="Z700" s="491"/>
      <c r="AA700" s="491"/>
      <c r="AB700" s="491"/>
      <c r="AC700" s="491"/>
      <c r="AD700" s="491"/>
      <c r="AE700" s="491"/>
      <c r="AF700" s="491"/>
      <c r="AG700" s="491"/>
      <c r="AH700" s="193"/>
    </row>
    <row r="701" spans="1:34" ht="15.75" thickBot="1" x14ac:dyDescent="0.3">
      <c r="A701" s="193"/>
      <c r="B701" s="491"/>
      <c r="C701" s="500"/>
      <c r="D701" s="491"/>
      <c r="E701" s="491"/>
      <c r="F701" s="491"/>
      <c r="G701" s="491"/>
      <c r="H701" s="491"/>
      <c r="I701" s="491"/>
      <c r="J701" s="491"/>
      <c r="K701" s="491"/>
      <c r="L701" s="491"/>
      <c r="M701" s="491"/>
      <c r="N701" s="491"/>
      <c r="O701" s="491"/>
      <c r="P701" s="491"/>
      <c r="Q701" s="491"/>
      <c r="R701" s="213"/>
      <c r="S701" s="224"/>
      <c r="T701" s="220"/>
      <c r="U701" s="214"/>
      <c r="V701" s="491"/>
      <c r="W701" s="491"/>
      <c r="X701" s="491"/>
      <c r="Y701" s="491"/>
      <c r="Z701" s="491"/>
      <c r="AA701" s="491"/>
      <c r="AB701" s="491"/>
      <c r="AC701" s="491"/>
      <c r="AD701" s="491"/>
      <c r="AE701" s="491"/>
      <c r="AF701" s="491"/>
      <c r="AG701" s="491"/>
      <c r="AH701" s="193"/>
    </row>
    <row r="702" spans="1:34" x14ac:dyDescent="0.25">
      <c r="A702" s="193"/>
      <c r="B702" s="492"/>
      <c r="C702" s="501"/>
      <c r="D702" s="492"/>
      <c r="E702" s="492"/>
      <c r="F702" s="492"/>
      <c r="G702" s="492"/>
      <c r="H702" s="492"/>
      <c r="I702" s="492"/>
      <c r="J702" s="492"/>
      <c r="K702" s="492"/>
      <c r="L702" s="492"/>
      <c r="M702" s="492"/>
      <c r="N702" s="492"/>
      <c r="O702" s="492"/>
      <c r="P702" s="492"/>
      <c r="Q702" s="492"/>
      <c r="R702" s="221"/>
      <c r="S702" s="493">
        <f>L698/12</f>
        <v>2.5</v>
      </c>
      <c r="T702" s="493"/>
      <c r="U702" s="222"/>
      <c r="V702" s="492"/>
      <c r="W702" s="492"/>
      <c r="X702" s="492"/>
      <c r="Y702" s="492"/>
      <c r="Z702" s="492"/>
      <c r="AA702" s="492"/>
      <c r="AB702" s="492"/>
      <c r="AC702" s="492"/>
      <c r="AD702" s="492"/>
      <c r="AE702" s="492"/>
      <c r="AF702" s="492"/>
      <c r="AG702" s="492"/>
      <c r="AH702" s="193"/>
    </row>
    <row r="703" spans="1:34" x14ac:dyDescent="0.25">
      <c r="A703" s="193"/>
      <c r="B703" s="490"/>
      <c r="C703" s="490" t="s">
        <v>277</v>
      </c>
      <c r="D703" s="490">
        <v>5</v>
      </c>
      <c r="E703" s="490">
        <v>0.625</v>
      </c>
      <c r="F703" s="494">
        <v>16</v>
      </c>
      <c r="G703" s="229"/>
      <c r="H703" s="490"/>
      <c r="I703" s="490">
        <f>ROUNDUP(G693/F703,0)</f>
        <v>10</v>
      </c>
      <c r="J703" s="490">
        <v>1</v>
      </c>
      <c r="K703" s="490">
        <v>6</v>
      </c>
      <c r="L703" s="490">
        <f>4*12-2</f>
        <v>46</v>
      </c>
      <c r="M703" s="490">
        <f>11*12</f>
        <v>132</v>
      </c>
      <c r="N703" s="490"/>
      <c r="O703" s="490"/>
      <c r="P703" s="490"/>
      <c r="Q703" s="490"/>
      <c r="R703" s="213"/>
      <c r="S703" s="498"/>
      <c r="T703" s="498"/>
      <c r="U703" s="214"/>
      <c r="V703" s="490">
        <f>SUM(R703:U707)</f>
        <v>15.333333333333334</v>
      </c>
      <c r="W703" s="490">
        <f>+SUM(K703:Q707)</f>
        <v>184</v>
      </c>
      <c r="X703" s="490">
        <f>(+I703*J703*W703)/12</f>
        <v>153.33333333333334</v>
      </c>
      <c r="Y703" s="490">
        <f t="shared" ref="Y703:AF703" si="126">IF(Y$4=$D703,$X703*Y$5,0)</f>
        <v>0</v>
      </c>
      <c r="Z703" s="490">
        <f t="shared" si="126"/>
        <v>0</v>
      </c>
      <c r="AA703" s="490">
        <f t="shared" si="126"/>
        <v>159.92666666666668</v>
      </c>
      <c r="AB703" s="490">
        <f t="shared" si="126"/>
        <v>0</v>
      </c>
      <c r="AC703" s="490">
        <f t="shared" si="126"/>
        <v>0</v>
      </c>
      <c r="AD703" s="490">
        <f t="shared" si="126"/>
        <v>0</v>
      </c>
      <c r="AE703" s="490">
        <f t="shared" si="126"/>
        <v>0</v>
      </c>
      <c r="AF703" s="490">
        <f t="shared" si="126"/>
        <v>0</v>
      </c>
      <c r="AG703" s="490"/>
      <c r="AH703" s="193"/>
    </row>
    <row r="704" spans="1:34" x14ac:dyDescent="0.25">
      <c r="A704" s="193"/>
      <c r="B704" s="491"/>
      <c r="C704" s="491"/>
      <c r="D704" s="491"/>
      <c r="E704" s="491"/>
      <c r="F704" s="495"/>
      <c r="G704" s="230"/>
      <c r="H704" s="491"/>
      <c r="I704" s="491"/>
      <c r="J704" s="491"/>
      <c r="K704" s="491"/>
      <c r="L704" s="491"/>
      <c r="M704" s="491"/>
      <c r="N704" s="491"/>
      <c r="O704" s="491"/>
      <c r="P704" s="491"/>
      <c r="Q704" s="491"/>
      <c r="R704" s="213"/>
      <c r="S704" s="215"/>
      <c r="T704" s="216"/>
      <c r="U704" s="214"/>
      <c r="V704" s="491"/>
      <c r="W704" s="491"/>
      <c r="X704" s="491"/>
      <c r="Y704" s="491"/>
      <c r="Z704" s="491"/>
      <c r="AA704" s="491"/>
      <c r="AB704" s="491"/>
      <c r="AC704" s="491"/>
      <c r="AD704" s="491"/>
      <c r="AE704" s="491"/>
      <c r="AF704" s="491"/>
      <c r="AG704" s="491"/>
      <c r="AH704" s="193"/>
    </row>
    <row r="705" spans="1:34" x14ac:dyDescent="0.25">
      <c r="A705" s="193"/>
      <c r="B705" s="491"/>
      <c r="C705" s="491"/>
      <c r="D705" s="491"/>
      <c r="E705" s="491"/>
      <c r="F705" s="495"/>
      <c r="G705" s="230"/>
      <c r="H705" s="491"/>
      <c r="I705" s="491"/>
      <c r="J705" s="491"/>
      <c r="K705" s="491"/>
      <c r="L705" s="491"/>
      <c r="M705" s="491"/>
      <c r="N705" s="491"/>
      <c r="O705" s="491"/>
      <c r="P705" s="491"/>
      <c r="Q705" s="491"/>
      <c r="R705" s="225">
        <f>K703/12</f>
        <v>0.5</v>
      </c>
      <c r="S705" s="218"/>
      <c r="T705" s="218"/>
      <c r="U705" s="219"/>
      <c r="V705" s="491"/>
      <c r="W705" s="491"/>
      <c r="X705" s="491"/>
      <c r="Y705" s="491"/>
      <c r="Z705" s="491"/>
      <c r="AA705" s="491"/>
      <c r="AB705" s="491"/>
      <c r="AC705" s="491"/>
      <c r="AD705" s="491"/>
      <c r="AE705" s="491"/>
      <c r="AF705" s="491"/>
      <c r="AG705" s="491"/>
      <c r="AH705" s="193"/>
    </row>
    <row r="706" spans="1:34" ht="15.75" thickBot="1" x14ac:dyDescent="0.3">
      <c r="A706" s="193"/>
      <c r="B706" s="491"/>
      <c r="C706" s="491"/>
      <c r="D706" s="491"/>
      <c r="E706" s="491"/>
      <c r="F706" s="495"/>
      <c r="G706" s="230"/>
      <c r="H706" s="491"/>
      <c r="I706" s="491"/>
      <c r="J706" s="491"/>
      <c r="K706" s="491"/>
      <c r="L706" s="491"/>
      <c r="M706" s="491"/>
      <c r="N706" s="491"/>
      <c r="O706" s="491"/>
      <c r="P706" s="491"/>
      <c r="Q706" s="491"/>
      <c r="R706" s="226"/>
      <c r="S706" s="220"/>
      <c r="T706" s="220"/>
      <c r="U706" s="214"/>
      <c r="V706" s="491"/>
      <c r="W706" s="491"/>
      <c r="X706" s="491"/>
      <c r="Y706" s="491"/>
      <c r="Z706" s="491"/>
      <c r="AA706" s="491"/>
      <c r="AB706" s="491"/>
      <c r="AC706" s="491"/>
      <c r="AD706" s="491"/>
      <c r="AE706" s="491"/>
      <c r="AF706" s="491"/>
      <c r="AG706" s="491"/>
      <c r="AH706" s="193"/>
    </row>
    <row r="707" spans="1:34" x14ac:dyDescent="0.25">
      <c r="A707" s="193"/>
      <c r="B707" s="492"/>
      <c r="C707" s="492"/>
      <c r="D707" s="491"/>
      <c r="E707" s="491"/>
      <c r="F707" s="496"/>
      <c r="G707" s="231"/>
      <c r="H707" s="492"/>
      <c r="I707" s="492"/>
      <c r="J707" s="492"/>
      <c r="K707" s="492"/>
      <c r="L707" s="492"/>
      <c r="M707" s="492"/>
      <c r="N707" s="492"/>
      <c r="O707" s="492"/>
      <c r="P707" s="492"/>
      <c r="Q707" s="492"/>
      <c r="R707" s="221"/>
      <c r="S707" s="493">
        <f>+SUM(L703:M707)/12</f>
        <v>14.833333333333334</v>
      </c>
      <c r="T707" s="493"/>
      <c r="U707" s="222"/>
      <c r="V707" s="492"/>
      <c r="W707" s="492"/>
      <c r="X707" s="492"/>
      <c r="Y707" s="492"/>
      <c r="Z707" s="492"/>
      <c r="AA707" s="492"/>
      <c r="AB707" s="492"/>
      <c r="AC707" s="492"/>
      <c r="AD707" s="492"/>
      <c r="AE707" s="492"/>
      <c r="AF707" s="492"/>
      <c r="AG707" s="492"/>
      <c r="AH707" s="193"/>
    </row>
    <row r="708" spans="1:34" x14ac:dyDescent="0.25">
      <c r="A708" s="193"/>
      <c r="B708" s="490"/>
      <c r="C708" s="490" t="s">
        <v>286</v>
      </c>
      <c r="D708" s="490">
        <v>5</v>
      </c>
      <c r="E708" s="490">
        <v>0.625</v>
      </c>
      <c r="F708" s="494">
        <v>16</v>
      </c>
      <c r="G708" s="229"/>
      <c r="H708" s="490"/>
      <c r="I708" s="490">
        <f>ROUNDUP(M703/F708,0)</f>
        <v>9</v>
      </c>
      <c r="J708" s="490">
        <v>1</v>
      </c>
      <c r="K708" s="490"/>
      <c r="L708" s="490">
        <f>G691-2-2</f>
        <v>156</v>
      </c>
      <c r="M708" s="490"/>
      <c r="N708" s="490"/>
      <c r="O708" s="490"/>
      <c r="P708" s="490"/>
      <c r="Q708" s="490"/>
      <c r="R708" s="213"/>
      <c r="S708" s="498"/>
      <c r="T708" s="498"/>
      <c r="U708" s="214"/>
      <c r="V708" s="490">
        <f>SUM(R708:U712)</f>
        <v>13</v>
      </c>
      <c r="W708" s="490">
        <f>+SUM(K708:Q712)</f>
        <v>156</v>
      </c>
      <c r="X708" s="490">
        <f>(+I708*J708*W708)/12</f>
        <v>117</v>
      </c>
      <c r="Y708" s="490">
        <f t="shared" ref="Y708:AF708" si="127">IF(Y$4=$D708,$X708*Y$5,0)</f>
        <v>0</v>
      </c>
      <c r="Z708" s="490">
        <f t="shared" si="127"/>
        <v>0</v>
      </c>
      <c r="AA708" s="490">
        <f t="shared" si="127"/>
        <v>122.03099999999999</v>
      </c>
      <c r="AB708" s="490">
        <f t="shared" si="127"/>
        <v>0</v>
      </c>
      <c r="AC708" s="490">
        <f t="shared" si="127"/>
        <v>0</v>
      </c>
      <c r="AD708" s="490">
        <f t="shared" si="127"/>
        <v>0</v>
      </c>
      <c r="AE708" s="490">
        <f t="shared" si="127"/>
        <v>0</v>
      </c>
      <c r="AF708" s="490">
        <f t="shared" si="127"/>
        <v>0</v>
      </c>
      <c r="AG708" s="490"/>
      <c r="AH708" s="193"/>
    </row>
    <row r="709" spans="1:34" x14ac:dyDescent="0.25">
      <c r="A709" s="193"/>
      <c r="B709" s="491"/>
      <c r="C709" s="491"/>
      <c r="D709" s="491"/>
      <c r="E709" s="491"/>
      <c r="F709" s="495"/>
      <c r="G709" s="230"/>
      <c r="H709" s="491"/>
      <c r="I709" s="491"/>
      <c r="J709" s="491"/>
      <c r="K709" s="491"/>
      <c r="L709" s="491"/>
      <c r="M709" s="491"/>
      <c r="N709" s="491"/>
      <c r="O709" s="491"/>
      <c r="P709" s="491"/>
      <c r="Q709" s="491"/>
      <c r="R709" s="213"/>
      <c r="S709" s="215"/>
      <c r="T709" s="216"/>
      <c r="U709" s="214"/>
      <c r="V709" s="491"/>
      <c r="W709" s="491"/>
      <c r="X709" s="491"/>
      <c r="Y709" s="491"/>
      <c r="Z709" s="491"/>
      <c r="AA709" s="491"/>
      <c r="AB709" s="491"/>
      <c r="AC709" s="491"/>
      <c r="AD709" s="491"/>
      <c r="AE709" s="491"/>
      <c r="AF709" s="491"/>
      <c r="AG709" s="491"/>
      <c r="AH709" s="193"/>
    </row>
    <row r="710" spans="1:34" x14ac:dyDescent="0.25">
      <c r="A710" s="193"/>
      <c r="B710" s="491"/>
      <c r="C710" s="491"/>
      <c r="D710" s="491"/>
      <c r="E710" s="491"/>
      <c r="F710" s="495"/>
      <c r="G710" s="230"/>
      <c r="H710" s="491"/>
      <c r="I710" s="491"/>
      <c r="J710" s="491"/>
      <c r="K710" s="491"/>
      <c r="L710" s="491"/>
      <c r="M710" s="491"/>
      <c r="N710" s="491"/>
      <c r="O710" s="491"/>
      <c r="P710" s="491"/>
      <c r="Q710" s="497"/>
      <c r="R710" s="217"/>
      <c r="S710" s="218"/>
      <c r="T710" s="218"/>
      <c r="U710" s="219"/>
      <c r="V710" s="491"/>
      <c r="W710" s="491"/>
      <c r="X710" s="491"/>
      <c r="Y710" s="491"/>
      <c r="Z710" s="491"/>
      <c r="AA710" s="491"/>
      <c r="AB710" s="491"/>
      <c r="AC710" s="491"/>
      <c r="AD710" s="491"/>
      <c r="AE710" s="491"/>
      <c r="AF710" s="491"/>
      <c r="AG710" s="491"/>
      <c r="AH710" s="193"/>
    </row>
    <row r="711" spans="1:34" ht="15.75" thickBot="1" x14ac:dyDescent="0.3">
      <c r="A711" s="193"/>
      <c r="B711" s="491"/>
      <c r="C711" s="491"/>
      <c r="D711" s="491"/>
      <c r="E711" s="491"/>
      <c r="F711" s="495"/>
      <c r="G711" s="230"/>
      <c r="H711" s="491"/>
      <c r="I711" s="491"/>
      <c r="J711" s="491"/>
      <c r="K711" s="491"/>
      <c r="L711" s="491"/>
      <c r="M711" s="491"/>
      <c r="N711" s="491"/>
      <c r="O711" s="491"/>
      <c r="P711" s="491"/>
      <c r="Q711" s="497"/>
      <c r="R711" s="213"/>
      <c r="S711" s="220"/>
      <c r="T711" s="220"/>
      <c r="U711" s="214"/>
      <c r="V711" s="491"/>
      <c r="W711" s="491"/>
      <c r="X711" s="491"/>
      <c r="Y711" s="491"/>
      <c r="Z711" s="491"/>
      <c r="AA711" s="491"/>
      <c r="AB711" s="491"/>
      <c r="AC711" s="491"/>
      <c r="AD711" s="491"/>
      <c r="AE711" s="491"/>
      <c r="AF711" s="491"/>
      <c r="AG711" s="491"/>
      <c r="AH711" s="193"/>
    </row>
    <row r="712" spans="1:34" x14ac:dyDescent="0.25">
      <c r="A712" s="193"/>
      <c r="B712" s="492"/>
      <c r="C712" s="492"/>
      <c r="D712" s="492"/>
      <c r="E712" s="492"/>
      <c r="F712" s="496"/>
      <c r="G712" s="231"/>
      <c r="H712" s="492"/>
      <c r="I712" s="492"/>
      <c r="J712" s="492"/>
      <c r="K712" s="492"/>
      <c r="L712" s="492"/>
      <c r="M712" s="492"/>
      <c r="N712" s="492"/>
      <c r="O712" s="492"/>
      <c r="P712" s="492"/>
      <c r="Q712" s="492"/>
      <c r="R712" s="221"/>
      <c r="S712" s="493">
        <f>L708/12</f>
        <v>13</v>
      </c>
      <c r="T712" s="493"/>
      <c r="U712" s="222"/>
      <c r="V712" s="492"/>
      <c r="W712" s="492"/>
      <c r="X712" s="492"/>
      <c r="Y712" s="492"/>
      <c r="Z712" s="492"/>
      <c r="AA712" s="492"/>
      <c r="AB712" s="492"/>
      <c r="AC712" s="492"/>
      <c r="AD712" s="492"/>
      <c r="AE712" s="492"/>
      <c r="AF712" s="492"/>
      <c r="AG712" s="492"/>
      <c r="AH712" s="193"/>
    </row>
    <row r="713" spans="1:34" ht="15.75" thickBot="1" x14ac:dyDescent="0.3">
      <c r="A713" s="195"/>
      <c r="B713" s="200" t="s">
        <v>268</v>
      </c>
      <c r="C713" s="199" t="s">
        <v>379</v>
      </c>
      <c r="D713" s="197">
        <v>60</v>
      </c>
      <c r="E713" s="201">
        <v>8</v>
      </c>
      <c r="F713" s="202"/>
      <c r="G713" s="202">
        <f>(8*12)+3</f>
        <v>99</v>
      </c>
      <c r="H713" s="202">
        <v>16</v>
      </c>
      <c r="I713" s="202">
        <v>12</v>
      </c>
      <c r="J713" s="202">
        <v>12</v>
      </c>
      <c r="K713" s="199"/>
      <c r="L713" s="199"/>
      <c r="M713" s="199"/>
      <c r="N713" s="199"/>
      <c r="O713" s="199"/>
      <c r="P713" s="199"/>
      <c r="Q713" s="198"/>
      <c r="R713" s="196"/>
      <c r="S713" s="196"/>
      <c r="T713" s="196"/>
      <c r="U713" s="196"/>
      <c r="V713" s="203"/>
      <c r="W713" s="202"/>
      <c r="X713" s="202"/>
      <c r="Y713" s="199"/>
      <c r="Z713" s="199"/>
      <c r="AA713" s="199"/>
      <c r="AB713" s="199"/>
      <c r="AC713" s="199"/>
      <c r="AD713" s="199"/>
      <c r="AE713" s="199"/>
      <c r="AF713" s="199"/>
      <c r="AG713" s="199"/>
      <c r="AH713" s="195"/>
    </row>
    <row r="714" spans="1:34" ht="15.75" thickBot="1" x14ac:dyDescent="0.3">
      <c r="A714" s="193"/>
      <c r="B714" s="204"/>
      <c r="C714" s="205"/>
      <c r="D714" s="194"/>
      <c r="E714" s="206"/>
      <c r="F714" s="205"/>
      <c r="G714" s="205"/>
      <c r="H714" s="207">
        <v>3</v>
      </c>
      <c r="I714" s="207">
        <v>2</v>
      </c>
      <c r="J714" s="205"/>
      <c r="K714" s="205"/>
      <c r="L714" s="205"/>
      <c r="M714" s="205"/>
      <c r="N714" s="205"/>
      <c r="O714" s="205"/>
      <c r="P714" s="205"/>
      <c r="Q714" s="208"/>
      <c r="R714" s="209"/>
      <c r="S714" s="210"/>
      <c r="T714" s="210"/>
      <c r="U714" s="211"/>
      <c r="V714" s="212"/>
      <c r="W714" s="204"/>
      <c r="X714" s="204"/>
      <c r="Y714" s="205"/>
      <c r="Z714" s="205"/>
      <c r="AA714" s="205"/>
      <c r="AB714" s="205"/>
      <c r="AC714" s="205"/>
      <c r="AD714" s="205"/>
      <c r="AE714" s="205"/>
      <c r="AF714" s="205"/>
      <c r="AG714" s="205"/>
      <c r="AH714" s="193"/>
    </row>
    <row r="715" spans="1:34" x14ac:dyDescent="0.25">
      <c r="A715" s="193"/>
      <c r="B715" s="490"/>
      <c r="C715" s="499" t="s">
        <v>265</v>
      </c>
      <c r="D715" s="490">
        <v>5</v>
      </c>
      <c r="E715" s="490">
        <v>0.625</v>
      </c>
      <c r="F715" s="490"/>
      <c r="G715" s="490">
        <f>G713</f>
        <v>99</v>
      </c>
      <c r="H715" s="490"/>
      <c r="I715" s="490">
        <v>2</v>
      </c>
      <c r="J715" s="490">
        <v>1</v>
      </c>
      <c r="K715" s="490"/>
      <c r="L715" s="490">
        <f>G713-2-2</f>
        <v>95</v>
      </c>
      <c r="M715" s="490"/>
      <c r="N715" s="490"/>
      <c r="O715" s="490"/>
      <c r="P715" s="490"/>
      <c r="Q715" s="490"/>
      <c r="R715" s="213"/>
      <c r="S715" s="502"/>
      <c r="T715" s="502"/>
      <c r="U715" s="214"/>
      <c r="V715" s="490">
        <f>SUM(R715:U719)</f>
        <v>7.916666666666667</v>
      </c>
      <c r="W715" s="490">
        <f>+SUM(K715:Q719)</f>
        <v>95</v>
      </c>
      <c r="X715" s="490">
        <f>(+I715*J715*W715)/12</f>
        <v>15.833333333333334</v>
      </c>
      <c r="Y715" s="490">
        <f>IF(Y$4=$D715,$X715*Y$5,0)</f>
        <v>0</v>
      </c>
      <c r="Z715" s="490">
        <f t="shared" ref="Z715:AF715" si="128">IF(Z$4=$D715,$X715*Z$5,0)</f>
        <v>0</v>
      </c>
      <c r="AA715" s="490">
        <f t="shared" si="128"/>
        <v>16.514166666666664</v>
      </c>
      <c r="AB715" s="490">
        <f t="shared" si="128"/>
        <v>0</v>
      </c>
      <c r="AC715" s="490">
        <f t="shared" si="128"/>
        <v>0</v>
      </c>
      <c r="AD715" s="490">
        <f t="shared" si="128"/>
        <v>0</v>
      </c>
      <c r="AE715" s="490">
        <f t="shared" si="128"/>
        <v>0</v>
      </c>
      <c r="AF715" s="490">
        <f t="shared" si="128"/>
        <v>0</v>
      </c>
      <c r="AG715" s="490"/>
      <c r="AH715" s="193"/>
    </row>
    <row r="716" spans="1:34" x14ac:dyDescent="0.25">
      <c r="A716" s="193"/>
      <c r="B716" s="491"/>
      <c r="C716" s="500"/>
      <c r="D716" s="491"/>
      <c r="E716" s="491"/>
      <c r="F716" s="491"/>
      <c r="G716" s="491"/>
      <c r="H716" s="491"/>
      <c r="I716" s="491"/>
      <c r="J716" s="491"/>
      <c r="K716" s="491"/>
      <c r="L716" s="491"/>
      <c r="M716" s="491"/>
      <c r="N716" s="491"/>
      <c r="O716" s="491"/>
      <c r="P716" s="491"/>
      <c r="Q716" s="491"/>
      <c r="R716" s="213"/>
      <c r="S716" s="215"/>
      <c r="T716" s="216"/>
      <c r="U716" s="214"/>
      <c r="V716" s="491"/>
      <c r="W716" s="491"/>
      <c r="X716" s="491"/>
      <c r="Y716" s="491"/>
      <c r="Z716" s="491"/>
      <c r="AA716" s="491"/>
      <c r="AB716" s="491"/>
      <c r="AC716" s="491"/>
      <c r="AD716" s="491"/>
      <c r="AE716" s="491"/>
      <c r="AF716" s="491"/>
      <c r="AG716" s="491"/>
      <c r="AH716" s="193"/>
    </row>
    <row r="717" spans="1:34" x14ac:dyDescent="0.25">
      <c r="A717" s="193"/>
      <c r="B717" s="491"/>
      <c r="C717" s="500"/>
      <c r="D717" s="491"/>
      <c r="E717" s="491"/>
      <c r="F717" s="491"/>
      <c r="G717" s="491"/>
      <c r="H717" s="491"/>
      <c r="I717" s="491"/>
      <c r="J717" s="491"/>
      <c r="K717" s="491"/>
      <c r="L717" s="491"/>
      <c r="M717" s="491"/>
      <c r="N717" s="491"/>
      <c r="O717" s="491"/>
      <c r="P717" s="491"/>
      <c r="Q717" s="491"/>
      <c r="R717" s="217"/>
      <c r="S717" s="218"/>
      <c r="T717" s="218"/>
      <c r="U717" s="219"/>
      <c r="V717" s="491"/>
      <c r="W717" s="491"/>
      <c r="X717" s="491"/>
      <c r="Y717" s="491"/>
      <c r="Z717" s="491"/>
      <c r="AA717" s="491"/>
      <c r="AB717" s="491"/>
      <c r="AC717" s="491"/>
      <c r="AD717" s="491"/>
      <c r="AE717" s="491"/>
      <c r="AF717" s="491"/>
      <c r="AG717" s="491"/>
      <c r="AH717" s="193"/>
    </row>
    <row r="718" spans="1:34" ht="15.75" thickBot="1" x14ac:dyDescent="0.3">
      <c r="A718" s="193"/>
      <c r="B718" s="491"/>
      <c r="C718" s="500"/>
      <c r="D718" s="491"/>
      <c r="E718" s="491"/>
      <c r="F718" s="491"/>
      <c r="G718" s="491"/>
      <c r="H718" s="491"/>
      <c r="I718" s="491"/>
      <c r="J718" s="491"/>
      <c r="K718" s="491"/>
      <c r="L718" s="491"/>
      <c r="M718" s="491"/>
      <c r="N718" s="491"/>
      <c r="O718" s="491"/>
      <c r="P718" s="491"/>
      <c r="Q718" s="491"/>
      <c r="R718" s="213"/>
      <c r="S718" s="220"/>
      <c r="T718" s="220"/>
      <c r="U718" s="214"/>
      <c r="V718" s="491"/>
      <c r="W718" s="491"/>
      <c r="X718" s="491"/>
      <c r="Y718" s="491"/>
      <c r="Z718" s="491"/>
      <c r="AA718" s="491"/>
      <c r="AB718" s="491"/>
      <c r="AC718" s="491"/>
      <c r="AD718" s="491"/>
      <c r="AE718" s="491"/>
      <c r="AF718" s="491"/>
      <c r="AG718" s="491"/>
      <c r="AH718" s="193"/>
    </row>
    <row r="719" spans="1:34" x14ac:dyDescent="0.25">
      <c r="A719" s="193"/>
      <c r="B719" s="492"/>
      <c r="C719" s="501"/>
      <c r="D719" s="492"/>
      <c r="E719" s="492"/>
      <c r="F719" s="492"/>
      <c r="G719" s="492"/>
      <c r="H719" s="492"/>
      <c r="I719" s="492"/>
      <c r="J719" s="492"/>
      <c r="K719" s="492"/>
      <c r="L719" s="492"/>
      <c r="M719" s="492"/>
      <c r="N719" s="492"/>
      <c r="O719" s="492"/>
      <c r="P719" s="492"/>
      <c r="Q719" s="492"/>
      <c r="R719" s="221"/>
      <c r="S719" s="493">
        <f>L715/12</f>
        <v>7.916666666666667</v>
      </c>
      <c r="T719" s="493"/>
      <c r="U719" s="222"/>
      <c r="V719" s="492"/>
      <c r="W719" s="492"/>
      <c r="X719" s="492"/>
      <c r="Y719" s="492"/>
      <c r="Z719" s="492"/>
      <c r="AA719" s="492"/>
      <c r="AB719" s="492"/>
      <c r="AC719" s="492"/>
      <c r="AD719" s="492"/>
      <c r="AE719" s="492"/>
      <c r="AF719" s="492"/>
      <c r="AG719" s="492"/>
      <c r="AH719" s="193"/>
    </row>
    <row r="720" spans="1:34" x14ac:dyDescent="0.25">
      <c r="A720" s="193"/>
      <c r="B720" s="490"/>
      <c r="C720" s="499" t="s">
        <v>271</v>
      </c>
      <c r="D720" s="490">
        <v>5</v>
      </c>
      <c r="E720" s="490">
        <v>0.625</v>
      </c>
      <c r="F720" s="490"/>
      <c r="G720" s="490"/>
      <c r="H720" s="490"/>
      <c r="I720" s="490">
        <v>2</v>
      </c>
      <c r="J720" s="490">
        <v>2</v>
      </c>
      <c r="K720" s="490">
        <v>30</v>
      </c>
      <c r="L720" s="490">
        <v>30</v>
      </c>
      <c r="M720" s="490"/>
      <c r="N720" s="490"/>
      <c r="O720" s="490"/>
      <c r="P720" s="490"/>
      <c r="Q720" s="490"/>
      <c r="R720" s="213"/>
      <c r="S720" s="498"/>
      <c r="T720" s="498"/>
      <c r="U720" s="214"/>
      <c r="V720" s="490">
        <f>SUM(R720:U724)</f>
        <v>5</v>
      </c>
      <c r="W720" s="490">
        <f>+SUM(K720:Q724)</f>
        <v>60</v>
      </c>
      <c r="X720" s="490">
        <f>(+I720*J720*W720)/12</f>
        <v>20</v>
      </c>
      <c r="Y720" s="490">
        <f t="shared" ref="Y720:AF720" si="129">IF(Y$4=$D720,$X720*Y$5,0)</f>
        <v>0</v>
      </c>
      <c r="Z720" s="490">
        <f t="shared" si="129"/>
        <v>0</v>
      </c>
      <c r="AA720" s="490">
        <f t="shared" si="129"/>
        <v>20.86</v>
      </c>
      <c r="AB720" s="490">
        <f t="shared" si="129"/>
        <v>0</v>
      </c>
      <c r="AC720" s="490">
        <f t="shared" si="129"/>
        <v>0</v>
      </c>
      <c r="AD720" s="490">
        <f t="shared" si="129"/>
        <v>0</v>
      </c>
      <c r="AE720" s="490">
        <f t="shared" si="129"/>
        <v>0</v>
      </c>
      <c r="AF720" s="490">
        <f t="shared" si="129"/>
        <v>0</v>
      </c>
      <c r="AG720" s="490"/>
      <c r="AH720" s="193"/>
    </row>
    <row r="721" spans="1:34" x14ac:dyDescent="0.25">
      <c r="A721" s="193"/>
      <c r="B721" s="491"/>
      <c r="C721" s="500"/>
      <c r="D721" s="491"/>
      <c r="E721" s="491"/>
      <c r="F721" s="491"/>
      <c r="G721" s="491"/>
      <c r="H721" s="491"/>
      <c r="I721" s="491"/>
      <c r="J721" s="491"/>
      <c r="K721" s="491"/>
      <c r="L721" s="491"/>
      <c r="M721" s="491"/>
      <c r="N721" s="491"/>
      <c r="O721" s="491"/>
      <c r="P721" s="491"/>
      <c r="Q721" s="491"/>
      <c r="R721" s="213"/>
      <c r="S721" s="215"/>
      <c r="T721" s="216"/>
      <c r="U721" s="214"/>
      <c r="V721" s="491"/>
      <c r="W721" s="491"/>
      <c r="X721" s="491"/>
      <c r="Y721" s="491"/>
      <c r="Z721" s="491"/>
      <c r="AA721" s="491"/>
      <c r="AB721" s="491"/>
      <c r="AC721" s="491"/>
      <c r="AD721" s="491"/>
      <c r="AE721" s="491"/>
      <c r="AF721" s="491"/>
      <c r="AG721" s="491"/>
      <c r="AH721" s="193"/>
    </row>
    <row r="722" spans="1:34" x14ac:dyDescent="0.25">
      <c r="A722" s="193"/>
      <c r="B722" s="491"/>
      <c r="C722" s="500"/>
      <c r="D722" s="491"/>
      <c r="E722" s="491"/>
      <c r="F722" s="491"/>
      <c r="G722" s="491"/>
      <c r="H722" s="491"/>
      <c r="I722" s="491"/>
      <c r="J722" s="491"/>
      <c r="K722" s="491"/>
      <c r="L722" s="491"/>
      <c r="M722" s="491"/>
      <c r="N722" s="491"/>
      <c r="O722" s="491"/>
      <c r="P722" s="491"/>
      <c r="Q722" s="491"/>
      <c r="R722" s="217">
        <f>K720/12</f>
        <v>2.5</v>
      </c>
      <c r="S722" s="223"/>
      <c r="T722" s="195"/>
      <c r="U722" s="219"/>
      <c r="V722" s="491"/>
      <c r="W722" s="491"/>
      <c r="X722" s="491"/>
      <c r="Y722" s="491"/>
      <c r="Z722" s="491"/>
      <c r="AA722" s="491"/>
      <c r="AB722" s="491"/>
      <c r="AC722" s="491"/>
      <c r="AD722" s="491"/>
      <c r="AE722" s="491"/>
      <c r="AF722" s="491"/>
      <c r="AG722" s="491"/>
      <c r="AH722" s="193"/>
    </row>
    <row r="723" spans="1:34" ht="15.75" thickBot="1" x14ac:dyDescent="0.3">
      <c r="A723" s="193"/>
      <c r="B723" s="491"/>
      <c r="C723" s="500"/>
      <c r="D723" s="491"/>
      <c r="E723" s="491"/>
      <c r="F723" s="491"/>
      <c r="G723" s="491"/>
      <c r="H723" s="491"/>
      <c r="I723" s="491"/>
      <c r="J723" s="491"/>
      <c r="K723" s="491"/>
      <c r="L723" s="491"/>
      <c r="M723" s="491"/>
      <c r="N723" s="491"/>
      <c r="O723" s="491"/>
      <c r="P723" s="491"/>
      <c r="Q723" s="491"/>
      <c r="R723" s="213"/>
      <c r="S723" s="224"/>
      <c r="T723" s="220"/>
      <c r="U723" s="214"/>
      <c r="V723" s="491"/>
      <c r="W723" s="491"/>
      <c r="X723" s="491"/>
      <c r="Y723" s="491"/>
      <c r="Z723" s="491"/>
      <c r="AA723" s="491"/>
      <c r="AB723" s="491"/>
      <c r="AC723" s="491"/>
      <c r="AD723" s="491"/>
      <c r="AE723" s="491"/>
      <c r="AF723" s="491"/>
      <c r="AG723" s="491"/>
      <c r="AH723" s="193"/>
    </row>
    <row r="724" spans="1:34" x14ac:dyDescent="0.25">
      <c r="A724" s="193"/>
      <c r="B724" s="492"/>
      <c r="C724" s="501"/>
      <c r="D724" s="492"/>
      <c r="E724" s="492"/>
      <c r="F724" s="492"/>
      <c r="G724" s="492"/>
      <c r="H724" s="492"/>
      <c r="I724" s="492"/>
      <c r="J724" s="492"/>
      <c r="K724" s="492"/>
      <c r="L724" s="492"/>
      <c r="M724" s="492"/>
      <c r="N724" s="492"/>
      <c r="O724" s="492"/>
      <c r="P724" s="492"/>
      <c r="Q724" s="492"/>
      <c r="R724" s="221"/>
      <c r="S724" s="493">
        <f>L720/12</f>
        <v>2.5</v>
      </c>
      <c r="T724" s="493"/>
      <c r="U724" s="222"/>
      <c r="V724" s="492"/>
      <c r="W724" s="492"/>
      <c r="X724" s="492"/>
      <c r="Y724" s="492"/>
      <c r="Z724" s="492"/>
      <c r="AA724" s="492"/>
      <c r="AB724" s="492"/>
      <c r="AC724" s="492"/>
      <c r="AD724" s="492"/>
      <c r="AE724" s="492"/>
      <c r="AF724" s="492"/>
      <c r="AG724" s="492"/>
      <c r="AH724" s="193"/>
    </row>
    <row r="725" spans="1:34" x14ac:dyDescent="0.25">
      <c r="A725" s="193"/>
      <c r="B725" s="490"/>
      <c r="C725" s="490" t="s">
        <v>277</v>
      </c>
      <c r="D725" s="490">
        <v>5</v>
      </c>
      <c r="E725" s="490">
        <v>0.625</v>
      </c>
      <c r="F725" s="494">
        <v>16</v>
      </c>
      <c r="G725" s="229"/>
      <c r="H725" s="490"/>
      <c r="I725" s="490">
        <f>ROUNDUP(G715/F725,0)</f>
        <v>7</v>
      </c>
      <c r="J725" s="490">
        <v>1</v>
      </c>
      <c r="K725" s="490">
        <v>6</v>
      </c>
      <c r="L725" s="490">
        <f>4*12-2</f>
        <v>46</v>
      </c>
      <c r="M725" s="490">
        <f>11*12</f>
        <v>132</v>
      </c>
      <c r="N725" s="490"/>
      <c r="O725" s="490"/>
      <c r="P725" s="490"/>
      <c r="Q725" s="490"/>
      <c r="R725" s="213"/>
      <c r="S725" s="498"/>
      <c r="T725" s="498"/>
      <c r="U725" s="214"/>
      <c r="V725" s="490">
        <f>SUM(R725:U729)</f>
        <v>15.333333333333334</v>
      </c>
      <c r="W725" s="490">
        <f>+SUM(K725:Q729)</f>
        <v>184</v>
      </c>
      <c r="X725" s="490">
        <f>(+I725*J725*W725)/12</f>
        <v>107.33333333333333</v>
      </c>
      <c r="Y725" s="490">
        <f t="shared" ref="Y725:AF725" si="130">IF(Y$4=$D725,$X725*Y$5,0)</f>
        <v>0</v>
      </c>
      <c r="Z725" s="490">
        <f t="shared" si="130"/>
        <v>0</v>
      </c>
      <c r="AA725" s="490">
        <f t="shared" si="130"/>
        <v>111.94866666666665</v>
      </c>
      <c r="AB725" s="490">
        <f t="shared" si="130"/>
        <v>0</v>
      </c>
      <c r="AC725" s="490">
        <f t="shared" si="130"/>
        <v>0</v>
      </c>
      <c r="AD725" s="490">
        <f t="shared" si="130"/>
        <v>0</v>
      </c>
      <c r="AE725" s="490">
        <f t="shared" si="130"/>
        <v>0</v>
      </c>
      <c r="AF725" s="490">
        <f t="shared" si="130"/>
        <v>0</v>
      </c>
      <c r="AG725" s="490"/>
      <c r="AH725" s="193"/>
    </row>
    <row r="726" spans="1:34" x14ac:dyDescent="0.25">
      <c r="A726" s="193"/>
      <c r="B726" s="491"/>
      <c r="C726" s="491"/>
      <c r="D726" s="491"/>
      <c r="E726" s="491"/>
      <c r="F726" s="495"/>
      <c r="G726" s="230"/>
      <c r="H726" s="491"/>
      <c r="I726" s="491"/>
      <c r="J726" s="491"/>
      <c r="K726" s="491"/>
      <c r="L726" s="491"/>
      <c r="M726" s="491"/>
      <c r="N726" s="491"/>
      <c r="O726" s="491"/>
      <c r="P726" s="491"/>
      <c r="Q726" s="491"/>
      <c r="R726" s="213"/>
      <c r="S726" s="215"/>
      <c r="T726" s="216"/>
      <c r="U726" s="214"/>
      <c r="V726" s="491"/>
      <c r="W726" s="491"/>
      <c r="X726" s="491"/>
      <c r="Y726" s="491"/>
      <c r="Z726" s="491"/>
      <c r="AA726" s="491"/>
      <c r="AB726" s="491"/>
      <c r="AC726" s="491"/>
      <c r="AD726" s="491"/>
      <c r="AE726" s="491"/>
      <c r="AF726" s="491"/>
      <c r="AG726" s="491"/>
      <c r="AH726" s="193"/>
    </row>
    <row r="727" spans="1:34" x14ac:dyDescent="0.25">
      <c r="A727" s="193"/>
      <c r="B727" s="491"/>
      <c r="C727" s="491"/>
      <c r="D727" s="491"/>
      <c r="E727" s="491"/>
      <c r="F727" s="495"/>
      <c r="G727" s="230"/>
      <c r="H727" s="491"/>
      <c r="I727" s="491"/>
      <c r="J727" s="491"/>
      <c r="K727" s="491"/>
      <c r="L727" s="491"/>
      <c r="M727" s="491"/>
      <c r="N727" s="491"/>
      <c r="O727" s="491"/>
      <c r="P727" s="491"/>
      <c r="Q727" s="491"/>
      <c r="R727" s="225">
        <f>K725/12</f>
        <v>0.5</v>
      </c>
      <c r="S727" s="218"/>
      <c r="T727" s="218"/>
      <c r="U727" s="219"/>
      <c r="V727" s="491"/>
      <c r="W727" s="491"/>
      <c r="X727" s="491"/>
      <c r="Y727" s="491"/>
      <c r="Z727" s="491"/>
      <c r="AA727" s="491"/>
      <c r="AB727" s="491"/>
      <c r="AC727" s="491"/>
      <c r="AD727" s="491"/>
      <c r="AE727" s="491"/>
      <c r="AF727" s="491"/>
      <c r="AG727" s="491"/>
      <c r="AH727" s="193"/>
    </row>
    <row r="728" spans="1:34" ht="15.75" thickBot="1" x14ac:dyDescent="0.3">
      <c r="A728" s="193"/>
      <c r="B728" s="491"/>
      <c r="C728" s="491"/>
      <c r="D728" s="491"/>
      <c r="E728" s="491"/>
      <c r="F728" s="495"/>
      <c r="G728" s="230"/>
      <c r="H728" s="491"/>
      <c r="I728" s="491"/>
      <c r="J728" s="491"/>
      <c r="K728" s="491"/>
      <c r="L728" s="491"/>
      <c r="M728" s="491"/>
      <c r="N728" s="491"/>
      <c r="O728" s="491"/>
      <c r="P728" s="491"/>
      <c r="Q728" s="491"/>
      <c r="R728" s="226"/>
      <c r="S728" s="220"/>
      <c r="T728" s="220"/>
      <c r="U728" s="214"/>
      <c r="V728" s="491"/>
      <c r="W728" s="491"/>
      <c r="X728" s="491"/>
      <c r="Y728" s="491"/>
      <c r="Z728" s="491"/>
      <c r="AA728" s="491"/>
      <c r="AB728" s="491"/>
      <c r="AC728" s="491"/>
      <c r="AD728" s="491"/>
      <c r="AE728" s="491"/>
      <c r="AF728" s="491"/>
      <c r="AG728" s="491"/>
      <c r="AH728" s="193"/>
    </row>
    <row r="729" spans="1:34" x14ac:dyDescent="0.25">
      <c r="A729" s="193"/>
      <c r="B729" s="492"/>
      <c r="C729" s="492"/>
      <c r="D729" s="491"/>
      <c r="E729" s="491"/>
      <c r="F729" s="496"/>
      <c r="G729" s="231"/>
      <c r="H729" s="492"/>
      <c r="I729" s="492"/>
      <c r="J729" s="492"/>
      <c r="K729" s="492"/>
      <c r="L729" s="492"/>
      <c r="M729" s="492"/>
      <c r="N729" s="492"/>
      <c r="O729" s="492"/>
      <c r="P729" s="492"/>
      <c r="Q729" s="492"/>
      <c r="R729" s="221"/>
      <c r="S729" s="493">
        <f>+SUM(L725:M729)/12</f>
        <v>14.833333333333334</v>
      </c>
      <c r="T729" s="493"/>
      <c r="U729" s="222"/>
      <c r="V729" s="492"/>
      <c r="W729" s="492"/>
      <c r="X729" s="492"/>
      <c r="Y729" s="492"/>
      <c r="Z729" s="492"/>
      <c r="AA729" s="492"/>
      <c r="AB729" s="492"/>
      <c r="AC729" s="492"/>
      <c r="AD729" s="492"/>
      <c r="AE729" s="492"/>
      <c r="AF729" s="492"/>
      <c r="AG729" s="492"/>
      <c r="AH729" s="193"/>
    </row>
    <row r="730" spans="1:34" x14ac:dyDescent="0.25">
      <c r="A730" s="193"/>
      <c r="B730" s="490"/>
      <c r="C730" s="490" t="s">
        <v>286</v>
      </c>
      <c r="D730" s="490">
        <v>5</v>
      </c>
      <c r="E730" s="490">
        <v>0.625</v>
      </c>
      <c r="F730" s="494">
        <v>16</v>
      </c>
      <c r="G730" s="229"/>
      <c r="H730" s="490"/>
      <c r="I730" s="490">
        <f>ROUNDUP(M725/F730,0)</f>
        <v>9</v>
      </c>
      <c r="J730" s="490">
        <v>1</v>
      </c>
      <c r="K730" s="490"/>
      <c r="L730" s="490">
        <f>G713-2-2</f>
        <v>95</v>
      </c>
      <c r="M730" s="490"/>
      <c r="N730" s="490"/>
      <c r="O730" s="490"/>
      <c r="P730" s="490"/>
      <c r="Q730" s="490"/>
      <c r="R730" s="213"/>
      <c r="S730" s="498"/>
      <c r="T730" s="498"/>
      <c r="U730" s="214"/>
      <c r="V730" s="490">
        <f>SUM(R730:U734)</f>
        <v>7.916666666666667</v>
      </c>
      <c r="W730" s="490">
        <f>+SUM(K730:Q734)</f>
        <v>95</v>
      </c>
      <c r="X730" s="490">
        <f>(+I730*J730*W730)/12</f>
        <v>71.25</v>
      </c>
      <c r="Y730" s="490">
        <f t="shared" ref="Y730:AF730" si="131">IF(Y$4=$D730,$X730*Y$5,0)</f>
        <v>0</v>
      </c>
      <c r="Z730" s="490">
        <f t="shared" si="131"/>
        <v>0</v>
      </c>
      <c r="AA730" s="490">
        <f t="shared" si="131"/>
        <v>74.313749999999999</v>
      </c>
      <c r="AB730" s="490">
        <f t="shared" si="131"/>
        <v>0</v>
      </c>
      <c r="AC730" s="490">
        <f t="shared" si="131"/>
        <v>0</v>
      </c>
      <c r="AD730" s="490">
        <f t="shared" si="131"/>
        <v>0</v>
      </c>
      <c r="AE730" s="490">
        <f t="shared" si="131"/>
        <v>0</v>
      </c>
      <c r="AF730" s="490">
        <f t="shared" si="131"/>
        <v>0</v>
      </c>
      <c r="AG730" s="490"/>
      <c r="AH730" s="193"/>
    </row>
    <row r="731" spans="1:34" x14ac:dyDescent="0.25">
      <c r="A731" s="193"/>
      <c r="B731" s="491"/>
      <c r="C731" s="491"/>
      <c r="D731" s="491"/>
      <c r="E731" s="491"/>
      <c r="F731" s="495"/>
      <c r="G731" s="230"/>
      <c r="H731" s="491"/>
      <c r="I731" s="491"/>
      <c r="J731" s="491"/>
      <c r="K731" s="491"/>
      <c r="L731" s="491"/>
      <c r="M731" s="491"/>
      <c r="N731" s="491"/>
      <c r="O731" s="491"/>
      <c r="P731" s="491"/>
      <c r="Q731" s="491"/>
      <c r="R731" s="213"/>
      <c r="S731" s="215"/>
      <c r="T731" s="216"/>
      <c r="U731" s="214"/>
      <c r="V731" s="491"/>
      <c r="W731" s="491"/>
      <c r="X731" s="491"/>
      <c r="Y731" s="491"/>
      <c r="Z731" s="491"/>
      <c r="AA731" s="491"/>
      <c r="AB731" s="491"/>
      <c r="AC731" s="491"/>
      <c r="AD731" s="491"/>
      <c r="AE731" s="491"/>
      <c r="AF731" s="491"/>
      <c r="AG731" s="491"/>
      <c r="AH731" s="193"/>
    </row>
    <row r="732" spans="1:34" x14ac:dyDescent="0.25">
      <c r="A732" s="193"/>
      <c r="B732" s="491"/>
      <c r="C732" s="491"/>
      <c r="D732" s="491"/>
      <c r="E732" s="491"/>
      <c r="F732" s="495"/>
      <c r="G732" s="230"/>
      <c r="H732" s="491"/>
      <c r="I732" s="491"/>
      <c r="J732" s="491"/>
      <c r="K732" s="491"/>
      <c r="L732" s="491"/>
      <c r="M732" s="491"/>
      <c r="N732" s="491"/>
      <c r="O732" s="491"/>
      <c r="P732" s="491"/>
      <c r="Q732" s="497"/>
      <c r="R732" s="217"/>
      <c r="S732" s="218"/>
      <c r="T732" s="218"/>
      <c r="U732" s="219"/>
      <c r="V732" s="491"/>
      <c r="W732" s="491"/>
      <c r="X732" s="491"/>
      <c r="Y732" s="491"/>
      <c r="Z732" s="491"/>
      <c r="AA732" s="491"/>
      <c r="AB732" s="491"/>
      <c r="AC732" s="491"/>
      <c r="AD732" s="491"/>
      <c r="AE732" s="491"/>
      <c r="AF732" s="491"/>
      <c r="AG732" s="491"/>
      <c r="AH732" s="193"/>
    </row>
    <row r="733" spans="1:34" ht="15.75" thickBot="1" x14ac:dyDescent="0.3">
      <c r="A733" s="193"/>
      <c r="B733" s="491"/>
      <c r="C733" s="491"/>
      <c r="D733" s="491"/>
      <c r="E733" s="491"/>
      <c r="F733" s="495"/>
      <c r="G733" s="230"/>
      <c r="H733" s="491"/>
      <c r="I733" s="491"/>
      <c r="J733" s="491"/>
      <c r="K733" s="491"/>
      <c r="L733" s="491"/>
      <c r="M733" s="491"/>
      <c r="N733" s="491"/>
      <c r="O733" s="491"/>
      <c r="P733" s="491"/>
      <c r="Q733" s="497"/>
      <c r="R733" s="213"/>
      <c r="S733" s="220"/>
      <c r="T733" s="220"/>
      <c r="U733" s="214"/>
      <c r="V733" s="491"/>
      <c r="W733" s="491"/>
      <c r="X733" s="491"/>
      <c r="Y733" s="491"/>
      <c r="Z733" s="491"/>
      <c r="AA733" s="491"/>
      <c r="AB733" s="491"/>
      <c r="AC733" s="491"/>
      <c r="AD733" s="491"/>
      <c r="AE733" s="491"/>
      <c r="AF733" s="491"/>
      <c r="AG733" s="491"/>
      <c r="AH733" s="193"/>
    </row>
    <row r="734" spans="1:34" x14ac:dyDescent="0.25">
      <c r="A734" s="193"/>
      <c r="B734" s="492"/>
      <c r="C734" s="492"/>
      <c r="D734" s="492"/>
      <c r="E734" s="492"/>
      <c r="F734" s="496"/>
      <c r="G734" s="231"/>
      <c r="H734" s="492"/>
      <c r="I734" s="492"/>
      <c r="J734" s="492"/>
      <c r="K734" s="492"/>
      <c r="L734" s="492"/>
      <c r="M734" s="492"/>
      <c r="N734" s="492"/>
      <c r="O734" s="492"/>
      <c r="P734" s="492"/>
      <c r="Q734" s="492"/>
      <c r="R734" s="221"/>
      <c r="S734" s="493">
        <f>L730/12</f>
        <v>7.916666666666667</v>
      </c>
      <c r="T734" s="493"/>
      <c r="U734" s="222"/>
      <c r="V734" s="492"/>
      <c r="W734" s="492"/>
      <c r="X734" s="492"/>
      <c r="Y734" s="492"/>
      <c r="Z734" s="492"/>
      <c r="AA734" s="492"/>
      <c r="AB734" s="492"/>
      <c r="AC734" s="492"/>
      <c r="AD734" s="492"/>
      <c r="AE734" s="492"/>
      <c r="AF734" s="492"/>
      <c r="AG734" s="492"/>
      <c r="AH734" s="193"/>
    </row>
    <row r="735" spans="1:34" ht="15.75" thickBot="1" x14ac:dyDescent="0.3">
      <c r="A735" s="195"/>
      <c r="B735" s="200" t="s">
        <v>269</v>
      </c>
      <c r="C735" s="199" t="s">
        <v>379</v>
      </c>
      <c r="D735" s="197">
        <v>60</v>
      </c>
      <c r="E735" s="201">
        <v>8</v>
      </c>
      <c r="F735" s="202"/>
      <c r="G735" s="202">
        <f>(13*12)+1</f>
        <v>157</v>
      </c>
      <c r="H735" s="202">
        <v>16</v>
      </c>
      <c r="I735" s="202">
        <v>12</v>
      </c>
      <c r="J735" s="202">
        <v>12</v>
      </c>
      <c r="K735" s="199"/>
      <c r="L735" s="199"/>
      <c r="M735" s="199"/>
      <c r="N735" s="199"/>
      <c r="O735" s="199"/>
      <c r="P735" s="199"/>
      <c r="Q735" s="198"/>
      <c r="R735" s="196"/>
      <c r="S735" s="196"/>
      <c r="T735" s="196"/>
      <c r="U735" s="196"/>
      <c r="V735" s="203"/>
      <c r="W735" s="202"/>
      <c r="X735" s="202"/>
      <c r="Y735" s="199"/>
      <c r="Z735" s="199"/>
      <c r="AA735" s="199"/>
      <c r="AB735" s="199"/>
      <c r="AC735" s="199"/>
      <c r="AD735" s="199"/>
      <c r="AE735" s="199"/>
      <c r="AF735" s="199"/>
      <c r="AG735" s="199"/>
      <c r="AH735" s="195"/>
    </row>
    <row r="736" spans="1:34" ht="15.75" thickBot="1" x14ac:dyDescent="0.3">
      <c r="A736" s="193"/>
      <c r="B736" s="204"/>
      <c r="C736" s="205"/>
      <c r="D736" s="194"/>
      <c r="E736" s="206"/>
      <c r="F736" s="205"/>
      <c r="G736" s="205"/>
      <c r="H736" s="207">
        <v>3</v>
      </c>
      <c r="I736" s="207">
        <v>2</v>
      </c>
      <c r="J736" s="205"/>
      <c r="K736" s="205"/>
      <c r="L736" s="205"/>
      <c r="M736" s="205"/>
      <c r="N736" s="205"/>
      <c r="O736" s="205"/>
      <c r="P736" s="205"/>
      <c r="Q736" s="208"/>
      <c r="R736" s="209"/>
      <c r="S736" s="210"/>
      <c r="T736" s="210"/>
      <c r="U736" s="211"/>
      <c r="V736" s="212"/>
      <c r="W736" s="204"/>
      <c r="X736" s="204"/>
      <c r="Y736" s="205"/>
      <c r="Z736" s="205"/>
      <c r="AA736" s="205"/>
      <c r="AB736" s="205"/>
      <c r="AC736" s="205"/>
      <c r="AD736" s="205"/>
      <c r="AE736" s="205"/>
      <c r="AF736" s="205"/>
      <c r="AG736" s="205"/>
      <c r="AH736" s="193"/>
    </row>
    <row r="737" spans="1:34" x14ac:dyDescent="0.25">
      <c r="A737" s="193"/>
      <c r="B737" s="490"/>
      <c r="C737" s="499" t="s">
        <v>265</v>
      </c>
      <c r="D737" s="490">
        <v>5</v>
      </c>
      <c r="E737" s="490">
        <v>0.625</v>
      </c>
      <c r="F737" s="490"/>
      <c r="G737" s="490">
        <f>G735</f>
        <v>157</v>
      </c>
      <c r="H737" s="490"/>
      <c r="I737" s="490">
        <v>2</v>
      </c>
      <c r="J737" s="490">
        <v>1</v>
      </c>
      <c r="K737" s="490"/>
      <c r="L737" s="490">
        <f>G735-2-2</f>
        <v>153</v>
      </c>
      <c r="M737" s="490"/>
      <c r="N737" s="490"/>
      <c r="O737" s="490"/>
      <c r="P737" s="490"/>
      <c r="Q737" s="490"/>
      <c r="R737" s="213"/>
      <c r="S737" s="502"/>
      <c r="T737" s="502"/>
      <c r="U737" s="214"/>
      <c r="V737" s="490">
        <f>SUM(R737:U741)</f>
        <v>12.75</v>
      </c>
      <c r="W737" s="490">
        <f>+SUM(K737:Q741)</f>
        <v>153</v>
      </c>
      <c r="X737" s="490">
        <f>(+I737*J737*W737)/12</f>
        <v>25.5</v>
      </c>
      <c r="Y737" s="490">
        <f>IF(Y$4=$D737,$X737*Y$5,0)</f>
        <v>0</v>
      </c>
      <c r="Z737" s="490">
        <f t="shared" ref="Z737:AF737" si="132">IF(Z$4=$D737,$X737*Z$5,0)</f>
        <v>0</v>
      </c>
      <c r="AA737" s="490">
        <f t="shared" si="132"/>
        <v>26.596499999999999</v>
      </c>
      <c r="AB737" s="490">
        <f t="shared" si="132"/>
        <v>0</v>
      </c>
      <c r="AC737" s="490">
        <f t="shared" si="132"/>
        <v>0</v>
      </c>
      <c r="AD737" s="490">
        <f t="shared" si="132"/>
        <v>0</v>
      </c>
      <c r="AE737" s="490">
        <f t="shared" si="132"/>
        <v>0</v>
      </c>
      <c r="AF737" s="490">
        <f t="shared" si="132"/>
        <v>0</v>
      </c>
      <c r="AG737" s="490"/>
      <c r="AH737" s="193"/>
    </row>
    <row r="738" spans="1:34" x14ac:dyDescent="0.25">
      <c r="A738" s="193"/>
      <c r="B738" s="491"/>
      <c r="C738" s="500"/>
      <c r="D738" s="491"/>
      <c r="E738" s="491"/>
      <c r="F738" s="491"/>
      <c r="G738" s="491"/>
      <c r="H738" s="491"/>
      <c r="I738" s="491"/>
      <c r="J738" s="491"/>
      <c r="K738" s="491"/>
      <c r="L738" s="491"/>
      <c r="M738" s="491"/>
      <c r="N738" s="491"/>
      <c r="O738" s="491"/>
      <c r="P738" s="491"/>
      <c r="Q738" s="491"/>
      <c r="R738" s="213"/>
      <c r="S738" s="215"/>
      <c r="T738" s="216"/>
      <c r="U738" s="214"/>
      <c r="V738" s="491"/>
      <c r="W738" s="491"/>
      <c r="X738" s="491"/>
      <c r="Y738" s="491"/>
      <c r="Z738" s="491"/>
      <c r="AA738" s="491"/>
      <c r="AB738" s="491"/>
      <c r="AC738" s="491"/>
      <c r="AD738" s="491"/>
      <c r="AE738" s="491"/>
      <c r="AF738" s="491"/>
      <c r="AG738" s="491"/>
      <c r="AH738" s="193"/>
    </row>
    <row r="739" spans="1:34" x14ac:dyDescent="0.25">
      <c r="A739" s="193"/>
      <c r="B739" s="491"/>
      <c r="C739" s="500"/>
      <c r="D739" s="491"/>
      <c r="E739" s="491"/>
      <c r="F739" s="491"/>
      <c r="G739" s="491"/>
      <c r="H739" s="491"/>
      <c r="I739" s="491"/>
      <c r="J739" s="491"/>
      <c r="K739" s="491"/>
      <c r="L739" s="491"/>
      <c r="M739" s="491"/>
      <c r="N739" s="491"/>
      <c r="O739" s="491"/>
      <c r="P739" s="491"/>
      <c r="Q739" s="491"/>
      <c r="R739" s="217"/>
      <c r="S739" s="218"/>
      <c r="T739" s="218"/>
      <c r="U739" s="219"/>
      <c r="V739" s="491"/>
      <c r="W739" s="491"/>
      <c r="X739" s="491"/>
      <c r="Y739" s="491"/>
      <c r="Z739" s="491"/>
      <c r="AA739" s="491"/>
      <c r="AB739" s="491"/>
      <c r="AC739" s="491"/>
      <c r="AD739" s="491"/>
      <c r="AE739" s="491"/>
      <c r="AF739" s="491"/>
      <c r="AG739" s="491"/>
      <c r="AH739" s="193"/>
    </row>
    <row r="740" spans="1:34" ht="15.75" thickBot="1" x14ac:dyDescent="0.3">
      <c r="A740" s="193"/>
      <c r="B740" s="491"/>
      <c r="C740" s="500"/>
      <c r="D740" s="491"/>
      <c r="E740" s="491"/>
      <c r="F740" s="491"/>
      <c r="G740" s="491"/>
      <c r="H740" s="491"/>
      <c r="I740" s="491"/>
      <c r="J740" s="491"/>
      <c r="K740" s="491"/>
      <c r="L740" s="491"/>
      <c r="M740" s="491"/>
      <c r="N740" s="491"/>
      <c r="O740" s="491"/>
      <c r="P740" s="491"/>
      <c r="Q740" s="491"/>
      <c r="R740" s="213"/>
      <c r="S740" s="220"/>
      <c r="T740" s="220"/>
      <c r="U740" s="214"/>
      <c r="V740" s="491"/>
      <c r="W740" s="491"/>
      <c r="X740" s="491"/>
      <c r="Y740" s="491"/>
      <c r="Z740" s="491"/>
      <c r="AA740" s="491"/>
      <c r="AB740" s="491"/>
      <c r="AC740" s="491"/>
      <c r="AD740" s="491"/>
      <c r="AE740" s="491"/>
      <c r="AF740" s="491"/>
      <c r="AG740" s="491"/>
      <c r="AH740" s="193"/>
    </row>
    <row r="741" spans="1:34" x14ac:dyDescent="0.25">
      <c r="A741" s="193"/>
      <c r="B741" s="492"/>
      <c r="C741" s="501"/>
      <c r="D741" s="492"/>
      <c r="E741" s="492"/>
      <c r="F741" s="492"/>
      <c r="G741" s="492"/>
      <c r="H741" s="492"/>
      <c r="I741" s="492"/>
      <c r="J741" s="492"/>
      <c r="K741" s="492"/>
      <c r="L741" s="492"/>
      <c r="M741" s="492"/>
      <c r="N741" s="492"/>
      <c r="O741" s="492"/>
      <c r="P741" s="492"/>
      <c r="Q741" s="492"/>
      <c r="R741" s="221"/>
      <c r="S741" s="493">
        <f>L737/12</f>
        <v>12.75</v>
      </c>
      <c r="T741" s="493"/>
      <c r="U741" s="222"/>
      <c r="V741" s="492"/>
      <c r="W741" s="492"/>
      <c r="X741" s="492"/>
      <c r="Y741" s="492"/>
      <c r="Z741" s="492"/>
      <c r="AA741" s="492"/>
      <c r="AB741" s="492"/>
      <c r="AC741" s="492"/>
      <c r="AD741" s="492"/>
      <c r="AE741" s="492"/>
      <c r="AF741" s="492"/>
      <c r="AG741" s="492"/>
      <c r="AH741" s="193"/>
    </row>
    <row r="742" spans="1:34" x14ac:dyDescent="0.25">
      <c r="A742" s="193"/>
      <c r="B742" s="490"/>
      <c r="C742" s="499" t="s">
        <v>271</v>
      </c>
      <c r="D742" s="490">
        <v>5</v>
      </c>
      <c r="E742" s="490">
        <v>0.625</v>
      </c>
      <c r="F742" s="490"/>
      <c r="G742" s="490"/>
      <c r="H742" s="490"/>
      <c r="I742" s="490">
        <v>2</v>
      </c>
      <c r="J742" s="490">
        <v>2</v>
      </c>
      <c r="K742" s="490">
        <v>30</v>
      </c>
      <c r="L742" s="490">
        <v>30</v>
      </c>
      <c r="M742" s="490"/>
      <c r="N742" s="490"/>
      <c r="O742" s="490"/>
      <c r="P742" s="490"/>
      <c r="Q742" s="490"/>
      <c r="R742" s="213"/>
      <c r="S742" s="498"/>
      <c r="T742" s="498"/>
      <c r="U742" s="214"/>
      <c r="V742" s="490">
        <f>SUM(R742:U746)</f>
        <v>5</v>
      </c>
      <c r="W742" s="490">
        <f>+SUM(K742:Q746)</f>
        <v>60</v>
      </c>
      <c r="X742" s="490">
        <f>(+I742*J742*W742)/12</f>
        <v>20</v>
      </c>
      <c r="Y742" s="490">
        <f t="shared" ref="Y742:AF742" si="133">IF(Y$4=$D742,$X742*Y$5,0)</f>
        <v>0</v>
      </c>
      <c r="Z742" s="490">
        <f t="shared" si="133"/>
        <v>0</v>
      </c>
      <c r="AA742" s="490">
        <f t="shared" si="133"/>
        <v>20.86</v>
      </c>
      <c r="AB742" s="490">
        <f t="shared" si="133"/>
        <v>0</v>
      </c>
      <c r="AC742" s="490">
        <f t="shared" si="133"/>
        <v>0</v>
      </c>
      <c r="AD742" s="490">
        <f t="shared" si="133"/>
        <v>0</v>
      </c>
      <c r="AE742" s="490">
        <f t="shared" si="133"/>
        <v>0</v>
      </c>
      <c r="AF742" s="490">
        <f t="shared" si="133"/>
        <v>0</v>
      </c>
      <c r="AG742" s="490"/>
      <c r="AH742" s="193"/>
    </row>
    <row r="743" spans="1:34" x14ac:dyDescent="0.25">
      <c r="A743" s="193"/>
      <c r="B743" s="491"/>
      <c r="C743" s="500"/>
      <c r="D743" s="491"/>
      <c r="E743" s="491"/>
      <c r="F743" s="491"/>
      <c r="G743" s="491"/>
      <c r="H743" s="491"/>
      <c r="I743" s="491"/>
      <c r="J743" s="491"/>
      <c r="K743" s="491"/>
      <c r="L743" s="491"/>
      <c r="M743" s="491"/>
      <c r="N743" s="491"/>
      <c r="O743" s="491"/>
      <c r="P743" s="491"/>
      <c r="Q743" s="491"/>
      <c r="R743" s="213"/>
      <c r="S743" s="215"/>
      <c r="T743" s="216"/>
      <c r="U743" s="214"/>
      <c r="V743" s="491"/>
      <c r="W743" s="491"/>
      <c r="X743" s="491"/>
      <c r="Y743" s="491"/>
      <c r="Z743" s="491"/>
      <c r="AA743" s="491"/>
      <c r="AB743" s="491"/>
      <c r="AC743" s="491"/>
      <c r="AD743" s="491"/>
      <c r="AE743" s="491"/>
      <c r="AF743" s="491"/>
      <c r="AG743" s="491"/>
      <c r="AH743" s="193"/>
    </row>
    <row r="744" spans="1:34" x14ac:dyDescent="0.25">
      <c r="A744" s="193"/>
      <c r="B744" s="491"/>
      <c r="C744" s="500"/>
      <c r="D744" s="491"/>
      <c r="E744" s="491"/>
      <c r="F744" s="491"/>
      <c r="G744" s="491"/>
      <c r="H744" s="491"/>
      <c r="I744" s="491"/>
      <c r="J744" s="491"/>
      <c r="K744" s="491"/>
      <c r="L744" s="491"/>
      <c r="M744" s="491"/>
      <c r="N744" s="491"/>
      <c r="O744" s="491"/>
      <c r="P744" s="491"/>
      <c r="Q744" s="491"/>
      <c r="R744" s="217">
        <f>K742/12</f>
        <v>2.5</v>
      </c>
      <c r="S744" s="223"/>
      <c r="T744" s="195"/>
      <c r="U744" s="219"/>
      <c r="V744" s="491"/>
      <c r="W744" s="491"/>
      <c r="X744" s="491"/>
      <c r="Y744" s="491"/>
      <c r="Z744" s="491"/>
      <c r="AA744" s="491"/>
      <c r="AB744" s="491"/>
      <c r="AC744" s="491"/>
      <c r="AD744" s="491"/>
      <c r="AE744" s="491"/>
      <c r="AF744" s="491"/>
      <c r="AG744" s="491"/>
      <c r="AH744" s="193"/>
    </row>
    <row r="745" spans="1:34" ht="15.75" thickBot="1" x14ac:dyDescent="0.3">
      <c r="A745" s="193"/>
      <c r="B745" s="491"/>
      <c r="C745" s="500"/>
      <c r="D745" s="491"/>
      <c r="E745" s="491"/>
      <c r="F745" s="491"/>
      <c r="G745" s="491"/>
      <c r="H745" s="491"/>
      <c r="I745" s="491"/>
      <c r="J745" s="491"/>
      <c r="K745" s="491"/>
      <c r="L745" s="491"/>
      <c r="M745" s="491"/>
      <c r="N745" s="491"/>
      <c r="O745" s="491"/>
      <c r="P745" s="491"/>
      <c r="Q745" s="491"/>
      <c r="R745" s="213"/>
      <c r="S745" s="224"/>
      <c r="T745" s="220"/>
      <c r="U745" s="214"/>
      <c r="V745" s="491"/>
      <c r="W745" s="491"/>
      <c r="X745" s="491"/>
      <c r="Y745" s="491"/>
      <c r="Z745" s="491"/>
      <c r="AA745" s="491"/>
      <c r="AB745" s="491"/>
      <c r="AC745" s="491"/>
      <c r="AD745" s="491"/>
      <c r="AE745" s="491"/>
      <c r="AF745" s="491"/>
      <c r="AG745" s="491"/>
      <c r="AH745" s="193"/>
    </row>
    <row r="746" spans="1:34" x14ac:dyDescent="0.25">
      <c r="A746" s="193"/>
      <c r="B746" s="492"/>
      <c r="C746" s="501"/>
      <c r="D746" s="492"/>
      <c r="E746" s="492"/>
      <c r="F746" s="492"/>
      <c r="G746" s="492"/>
      <c r="H746" s="492"/>
      <c r="I746" s="492"/>
      <c r="J746" s="492"/>
      <c r="K746" s="492"/>
      <c r="L746" s="492"/>
      <c r="M746" s="492"/>
      <c r="N746" s="492"/>
      <c r="O746" s="492"/>
      <c r="P746" s="492"/>
      <c r="Q746" s="492"/>
      <c r="R746" s="221"/>
      <c r="S746" s="493">
        <f>L742/12</f>
        <v>2.5</v>
      </c>
      <c r="T746" s="493"/>
      <c r="U746" s="222"/>
      <c r="V746" s="492"/>
      <c r="W746" s="492"/>
      <c r="X746" s="492"/>
      <c r="Y746" s="492"/>
      <c r="Z746" s="492"/>
      <c r="AA746" s="492"/>
      <c r="AB746" s="492"/>
      <c r="AC746" s="492"/>
      <c r="AD746" s="492"/>
      <c r="AE746" s="492"/>
      <c r="AF746" s="492"/>
      <c r="AG746" s="492"/>
      <c r="AH746" s="193"/>
    </row>
    <row r="747" spans="1:34" x14ac:dyDescent="0.25">
      <c r="A747" s="193"/>
      <c r="B747" s="490"/>
      <c r="C747" s="490" t="s">
        <v>277</v>
      </c>
      <c r="D747" s="490">
        <v>5</v>
      </c>
      <c r="E747" s="490">
        <v>0.625</v>
      </c>
      <c r="F747" s="494">
        <v>16</v>
      </c>
      <c r="G747" s="229"/>
      <c r="H747" s="490"/>
      <c r="I747" s="490">
        <f>ROUNDUP(G737/F747,0)</f>
        <v>10</v>
      </c>
      <c r="J747" s="490">
        <v>1</v>
      </c>
      <c r="K747" s="490">
        <v>6</v>
      </c>
      <c r="L747" s="490">
        <f>4*12-2</f>
        <v>46</v>
      </c>
      <c r="M747" s="490">
        <f>11*12</f>
        <v>132</v>
      </c>
      <c r="N747" s="490"/>
      <c r="O747" s="490"/>
      <c r="P747" s="490"/>
      <c r="Q747" s="490"/>
      <c r="R747" s="213"/>
      <c r="S747" s="498"/>
      <c r="T747" s="498"/>
      <c r="U747" s="214"/>
      <c r="V747" s="490">
        <f>SUM(R747:U751)</f>
        <v>15.333333333333334</v>
      </c>
      <c r="W747" s="490">
        <f>+SUM(K747:Q751)</f>
        <v>184</v>
      </c>
      <c r="X747" s="490">
        <f>(+I747*J747*W747)/12</f>
        <v>153.33333333333334</v>
      </c>
      <c r="Y747" s="490">
        <f t="shared" ref="Y747:AF747" si="134">IF(Y$4=$D747,$X747*Y$5,0)</f>
        <v>0</v>
      </c>
      <c r="Z747" s="490">
        <f t="shared" si="134"/>
        <v>0</v>
      </c>
      <c r="AA747" s="490">
        <f t="shared" si="134"/>
        <v>159.92666666666668</v>
      </c>
      <c r="AB747" s="490">
        <f t="shared" si="134"/>
        <v>0</v>
      </c>
      <c r="AC747" s="490">
        <f t="shared" si="134"/>
        <v>0</v>
      </c>
      <c r="AD747" s="490">
        <f t="shared" si="134"/>
        <v>0</v>
      </c>
      <c r="AE747" s="490">
        <f t="shared" si="134"/>
        <v>0</v>
      </c>
      <c r="AF747" s="490">
        <f t="shared" si="134"/>
        <v>0</v>
      </c>
      <c r="AG747" s="490"/>
      <c r="AH747" s="193"/>
    </row>
    <row r="748" spans="1:34" x14ac:dyDescent="0.25">
      <c r="A748" s="193"/>
      <c r="B748" s="491"/>
      <c r="C748" s="491"/>
      <c r="D748" s="491"/>
      <c r="E748" s="491"/>
      <c r="F748" s="495"/>
      <c r="G748" s="230"/>
      <c r="H748" s="491"/>
      <c r="I748" s="491"/>
      <c r="J748" s="491"/>
      <c r="K748" s="491"/>
      <c r="L748" s="491"/>
      <c r="M748" s="491"/>
      <c r="N748" s="491"/>
      <c r="O748" s="491"/>
      <c r="P748" s="491"/>
      <c r="Q748" s="491"/>
      <c r="R748" s="213"/>
      <c r="S748" s="215"/>
      <c r="T748" s="216"/>
      <c r="U748" s="214"/>
      <c r="V748" s="491"/>
      <c r="W748" s="491"/>
      <c r="X748" s="491"/>
      <c r="Y748" s="491"/>
      <c r="Z748" s="491"/>
      <c r="AA748" s="491"/>
      <c r="AB748" s="491"/>
      <c r="AC748" s="491"/>
      <c r="AD748" s="491"/>
      <c r="AE748" s="491"/>
      <c r="AF748" s="491"/>
      <c r="AG748" s="491"/>
      <c r="AH748" s="193"/>
    </row>
    <row r="749" spans="1:34" x14ac:dyDescent="0.25">
      <c r="A749" s="193"/>
      <c r="B749" s="491"/>
      <c r="C749" s="491"/>
      <c r="D749" s="491"/>
      <c r="E749" s="491"/>
      <c r="F749" s="495"/>
      <c r="G749" s="230"/>
      <c r="H749" s="491"/>
      <c r="I749" s="491"/>
      <c r="J749" s="491"/>
      <c r="K749" s="491"/>
      <c r="L749" s="491"/>
      <c r="M749" s="491"/>
      <c r="N749" s="491"/>
      <c r="O749" s="491"/>
      <c r="P749" s="491"/>
      <c r="Q749" s="491"/>
      <c r="R749" s="225">
        <f>K747/12</f>
        <v>0.5</v>
      </c>
      <c r="S749" s="218"/>
      <c r="T749" s="218"/>
      <c r="U749" s="219"/>
      <c r="V749" s="491"/>
      <c r="W749" s="491"/>
      <c r="X749" s="491"/>
      <c r="Y749" s="491"/>
      <c r="Z749" s="491"/>
      <c r="AA749" s="491"/>
      <c r="AB749" s="491"/>
      <c r="AC749" s="491"/>
      <c r="AD749" s="491"/>
      <c r="AE749" s="491"/>
      <c r="AF749" s="491"/>
      <c r="AG749" s="491"/>
      <c r="AH749" s="193"/>
    </row>
    <row r="750" spans="1:34" ht="15.75" thickBot="1" x14ac:dyDescent="0.3">
      <c r="A750" s="193"/>
      <c r="B750" s="491"/>
      <c r="C750" s="491"/>
      <c r="D750" s="491"/>
      <c r="E750" s="491"/>
      <c r="F750" s="495"/>
      <c r="G750" s="230"/>
      <c r="H750" s="491"/>
      <c r="I750" s="491"/>
      <c r="J750" s="491"/>
      <c r="K750" s="491"/>
      <c r="L750" s="491"/>
      <c r="M750" s="491"/>
      <c r="N750" s="491"/>
      <c r="O750" s="491"/>
      <c r="P750" s="491"/>
      <c r="Q750" s="491"/>
      <c r="R750" s="226"/>
      <c r="S750" s="220"/>
      <c r="T750" s="220"/>
      <c r="U750" s="214"/>
      <c r="V750" s="491"/>
      <c r="W750" s="491"/>
      <c r="X750" s="491"/>
      <c r="Y750" s="491"/>
      <c r="Z750" s="491"/>
      <c r="AA750" s="491"/>
      <c r="AB750" s="491"/>
      <c r="AC750" s="491"/>
      <c r="AD750" s="491"/>
      <c r="AE750" s="491"/>
      <c r="AF750" s="491"/>
      <c r="AG750" s="491"/>
      <c r="AH750" s="193"/>
    </row>
    <row r="751" spans="1:34" x14ac:dyDescent="0.25">
      <c r="A751" s="193"/>
      <c r="B751" s="492"/>
      <c r="C751" s="492"/>
      <c r="D751" s="491"/>
      <c r="E751" s="491"/>
      <c r="F751" s="496"/>
      <c r="G751" s="231"/>
      <c r="H751" s="492"/>
      <c r="I751" s="492"/>
      <c r="J751" s="492"/>
      <c r="K751" s="492"/>
      <c r="L751" s="492"/>
      <c r="M751" s="492"/>
      <c r="N751" s="492"/>
      <c r="O751" s="492"/>
      <c r="P751" s="492"/>
      <c r="Q751" s="492"/>
      <c r="R751" s="221"/>
      <c r="S751" s="493">
        <f>+SUM(L747:M751)/12</f>
        <v>14.833333333333334</v>
      </c>
      <c r="T751" s="493"/>
      <c r="U751" s="222"/>
      <c r="V751" s="492"/>
      <c r="W751" s="492"/>
      <c r="X751" s="492"/>
      <c r="Y751" s="492"/>
      <c r="Z751" s="492"/>
      <c r="AA751" s="492"/>
      <c r="AB751" s="492"/>
      <c r="AC751" s="492"/>
      <c r="AD751" s="492"/>
      <c r="AE751" s="492"/>
      <c r="AF751" s="492"/>
      <c r="AG751" s="492"/>
      <c r="AH751" s="193"/>
    </row>
    <row r="752" spans="1:34" x14ac:dyDescent="0.25">
      <c r="A752" s="193"/>
      <c r="B752" s="490"/>
      <c r="C752" s="490" t="s">
        <v>286</v>
      </c>
      <c r="D752" s="490">
        <v>5</v>
      </c>
      <c r="E752" s="490">
        <v>0.625</v>
      </c>
      <c r="F752" s="494">
        <v>16</v>
      </c>
      <c r="G752" s="229"/>
      <c r="H752" s="490"/>
      <c r="I752" s="490">
        <f>ROUNDUP(M747/F752,0)</f>
        <v>9</v>
      </c>
      <c r="J752" s="490">
        <v>1</v>
      </c>
      <c r="K752" s="490"/>
      <c r="L752" s="490">
        <f>G735-2-2</f>
        <v>153</v>
      </c>
      <c r="M752" s="490"/>
      <c r="N752" s="490"/>
      <c r="O752" s="490"/>
      <c r="P752" s="490"/>
      <c r="Q752" s="490"/>
      <c r="R752" s="213"/>
      <c r="S752" s="498"/>
      <c r="T752" s="498"/>
      <c r="U752" s="214"/>
      <c r="V752" s="490">
        <f>SUM(R752:U756)</f>
        <v>12.75</v>
      </c>
      <c r="W752" s="490">
        <f>+SUM(K752:Q756)</f>
        <v>153</v>
      </c>
      <c r="X752" s="490">
        <f>(+I752*J752*W752)/12</f>
        <v>114.75</v>
      </c>
      <c r="Y752" s="490">
        <f t="shared" ref="Y752:AF752" si="135">IF(Y$4=$D752,$X752*Y$5,0)</f>
        <v>0</v>
      </c>
      <c r="Z752" s="490">
        <f t="shared" si="135"/>
        <v>0</v>
      </c>
      <c r="AA752" s="490">
        <f t="shared" si="135"/>
        <v>119.68424999999999</v>
      </c>
      <c r="AB752" s="490">
        <f t="shared" si="135"/>
        <v>0</v>
      </c>
      <c r="AC752" s="490">
        <f t="shared" si="135"/>
        <v>0</v>
      </c>
      <c r="AD752" s="490">
        <f t="shared" si="135"/>
        <v>0</v>
      </c>
      <c r="AE752" s="490">
        <f t="shared" si="135"/>
        <v>0</v>
      </c>
      <c r="AF752" s="490">
        <f t="shared" si="135"/>
        <v>0</v>
      </c>
      <c r="AG752" s="490"/>
      <c r="AH752" s="193"/>
    </row>
    <row r="753" spans="1:34" x14ac:dyDescent="0.25">
      <c r="A753" s="193"/>
      <c r="B753" s="491"/>
      <c r="C753" s="491"/>
      <c r="D753" s="491"/>
      <c r="E753" s="491"/>
      <c r="F753" s="495"/>
      <c r="G753" s="230"/>
      <c r="H753" s="491"/>
      <c r="I753" s="491"/>
      <c r="J753" s="491"/>
      <c r="K753" s="491"/>
      <c r="L753" s="491"/>
      <c r="M753" s="491"/>
      <c r="N753" s="491"/>
      <c r="O753" s="491"/>
      <c r="P753" s="491"/>
      <c r="Q753" s="491"/>
      <c r="R753" s="213"/>
      <c r="S753" s="215"/>
      <c r="T753" s="216"/>
      <c r="U753" s="214"/>
      <c r="V753" s="491"/>
      <c r="W753" s="491"/>
      <c r="X753" s="491"/>
      <c r="Y753" s="491"/>
      <c r="Z753" s="491"/>
      <c r="AA753" s="491"/>
      <c r="AB753" s="491"/>
      <c r="AC753" s="491"/>
      <c r="AD753" s="491"/>
      <c r="AE753" s="491"/>
      <c r="AF753" s="491"/>
      <c r="AG753" s="491"/>
      <c r="AH753" s="193"/>
    </row>
    <row r="754" spans="1:34" x14ac:dyDescent="0.25">
      <c r="A754" s="193"/>
      <c r="B754" s="491"/>
      <c r="C754" s="491"/>
      <c r="D754" s="491"/>
      <c r="E754" s="491"/>
      <c r="F754" s="495"/>
      <c r="G754" s="230"/>
      <c r="H754" s="491"/>
      <c r="I754" s="491"/>
      <c r="J754" s="491"/>
      <c r="K754" s="491"/>
      <c r="L754" s="491"/>
      <c r="M754" s="491"/>
      <c r="N754" s="491"/>
      <c r="O754" s="491"/>
      <c r="P754" s="491"/>
      <c r="Q754" s="497"/>
      <c r="R754" s="217"/>
      <c r="S754" s="218"/>
      <c r="T754" s="218"/>
      <c r="U754" s="219"/>
      <c r="V754" s="491"/>
      <c r="W754" s="491"/>
      <c r="X754" s="491"/>
      <c r="Y754" s="491"/>
      <c r="Z754" s="491"/>
      <c r="AA754" s="491"/>
      <c r="AB754" s="491"/>
      <c r="AC754" s="491"/>
      <c r="AD754" s="491"/>
      <c r="AE754" s="491"/>
      <c r="AF754" s="491"/>
      <c r="AG754" s="491"/>
      <c r="AH754" s="193"/>
    </row>
    <row r="755" spans="1:34" ht="15.75" thickBot="1" x14ac:dyDescent="0.3">
      <c r="A755" s="193"/>
      <c r="B755" s="491"/>
      <c r="C755" s="491"/>
      <c r="D755" s="491"/>
      <c r="E755" s="491"/>
      <c r="F755" s="495"/>
      <c r="G755" s="230"/>
      <c r="H755" s="491"/>
      <c r="I755" s="491"/>
      <c r="J755" s="491"/>
      <c r="K755" s="491"/>
      <c r="L755" s="491"/>
      <c r="M755" s="491"/>
      <c r="N755" s="491"/>
      <c r="O755" s="491"/>
      <c r="P755" s="491"/>
      <c r="Q755" s="497"/>
      <c r="R755" s="213"/>
      <c r="S755" s="220"/>
      <c r="T755" s="220"/>
      <c r="U755" s="214"/>
      <c r="V755" s="491"/>
      <c r="W755" s="491"/>
      <c r="X755" s="491"/>
      <c r="Y755" s="491"/>
      <c r="Z755" s="491"/>
      <c r="AA755" s="491"/>
      <c r="AB755" s="491"/>
      <c r="AC755" s="491"/>
      <c r="AD755" s="491"/>
      <c r="AE755" s="491"/>
      <c r="AF755" s="491"/>
      <c r="AG755" s="491"/>
      <c r="AH755" s="193"/>
    </row>
    <row r="756" spans="1:34" x14ac:dyDescent="0.25">
      <c r="A756" s="193"/>
      <c r="B756" s="492"/>
      <c r="C756" s="492"/>
      <c r="D756" s="492"/>
      <c r="E756" s="492"/>
      <c r="F756" s="496"/>
      <c r="G756" s="231"/>
      <c r="H756" s="492"/>
      <c r="I756" s="492"/>
      <c r="J756" s="492"/>
      <c r="K756" s="492"/>
      <c r="L756" s="492"/>
      <c r="M756" s="492"/>
      <c r="N756" s="492"/>
      <c r="O756" s="492"/>
      <c r="P756" s="492"/>
      <c r="Q756" s="492"/>
      <c r="R756" s="221"/>
      <c r="S756" s="493">
        <f>L752/12</f>
        <v>12.75</v>
      </c>
      <c r="T756" s="493"/>
      <c r="U756" s="222"/>
      <c r="V756" s="492"/>
      <c r="W756" s="492"/>
      <c r="X756" s="492"/>
      <c r="Y756" s="492"/>
      <c r="Z756" s="492"/>
      <c r="AA756" s="492"/>
      <c r="AB756" s="492"/>
      <c r="AC756" s="492"/>
      <c r="AD756" s="492"/>
      <c r="AE756" s="492"/>
      <c r="AF756" s="492"/>
      <c r="AG756" s="492"/>
      <c r="AH756" s="193"/>
    </row>
    <row r="757" spans="1:34" ht="15.75" thickBot="1" x14ac:dyDescent="0.3">
      <c r="A757" s="195"/>
      <c r="B757" s="200" t="s">
        <v>270</v>
      </c>
      <c r="C757" s="199" t="s">
        <v>380</v>
      </c>
      <c r="D757" s="197">
        <v>60</v>
      </c>
      <c r="E757" s="201">
        <v>8</v>
      </c>
      <c r="F757" s="202"/>
      <c r="G757" s="202">
        <f>(10*12)+4</f>
        <v>124</v>
      </c>
      <c r="H757" s="202">
        <v>24</v>
      </c>
      <c r="I757" s="202">
        <v>12</v>
      </c>
      <c r="J757" s="202">
        <v>12</v>
      </c>
      <c r="K757" s="199"/>
      <c r="L757" s="199"/>
      <c r="M757" s="199"/>
      <c r="N757" s="199"/>
      <c r="O757" s="199"/>
      <c r="P757" s="199"/>
      <c r="Q757" s="198"/>
      <c r="R757" s="196"/>
      <c r="S757" s="196"/>
      <c r="T757" s="196"/>
      <c r="U757" s="196"/>
      <c r="V757" s="203"/>
      <c r="W757" s="202"/>
      <c r="X757" s="202"/>
      <c r="Y757" s="199"/>
      <c r="Z757" s="199"/>
      <c r="AA757" s="199"/>
      <c r="AB757" s="199"/>
      <c r="AC757" s="199"/>
      <c r="AD757" s="199"/>
      <c r="AE757" s="199"/>
      <c r="AF757" s="199"/>
      <c r="AG757" s="199"/>
      <c r="AH757" s="195"/>
    </row>
    <row r="758" spans="1:34" ht="15.75" thickBot="1" x14ac:dyDescent="0.3">
      <c r="A758" s="193"/>
      <c r="B758" s="204"/>
      <c r="C758" s="205"/>
      <c r="D758" s="194"/>
      <c r="E758" s="206"/>
      <c r="F758" s="205"/>
      <c r="G758" s="205"/>
      <c r="H758" s="207">
        <v>3</v>
      </c>
      <c r="I758" s="207">
        <v>2</v>
      </c>
      <c r="J758" s="205"/>
      <c r="K758" s="205"/>
      <c r="L758" s="205"/>
      <c r="M758" s="205"/>
      <c r="N758" s="205"/>
      <c r="O758" s="205"/>
      <c r="P758" s="205"/>
      <c r="Q758" s="208"/>
      <c r="R758" s="209"/>
      <c r="S758" s="210"/>
      <c r="T758" s="210"/>
      <c r="U758" s="211"/>
      <c r="V758" s="212"/>
      <c r="W758" s="204"/>
      <c r="X758" s="204"/>
      <c r="Y758" s="205"/>
      <c r="Z758" s="205"/>
      <c r="AA758" s="205"/>
      <c r="AB758" s="205"/>
      <c r="AC758" s="205"/>
      <c r="AD758" s="205"/>
      <c r="AE758" s="205"/>
      <c r="AF758" s="205"/>
      <c r="AG758" s="205"/>
      <c r="AH758" s="193"/>
    </row>
    <row r="759" spans="1:34" x14ac:dyDescent="0.25">
      <c r="A759" s="193"/>
      <c r="B759" s="490"/>
      <c r="C759" s="499" t="s">
        <v>265</v>
      </c>
      <c r="D759" s="490">
        <v>5</v>
      </c>
      <c r="E759" s="490">
        <v>0.625</v>
      </c>
      <c r="F759" s="490"/>
      <c r="G759" s="490">
        <f>G757</f>
        <v>124</v>
      </c>
      <c r="H759" s="490"/>
      <c r="I759" s="490">
        <v>2</v>
      </c>
      <c r="J759" s="490">
        <v>1</v>
      </c>
      <c r="K759" s="490"/>
      <c r="L759" s="490">
        <f>G757-2-2</f>
        <v>120</v>
      </c>
      <c r="M759" s="490"/>
      <c r="N759" s="490"/>
      <c r="O759" s="490"/>
      <c r="P759" s="490"/>
      <c r="Q759" s="490"/>
      <c r="R759" s="213"/>
      <c r="S759" s="502"/>
      <c r="T759" s="502"/>
      <c r="U759" s="214"/>
      <c r="V759" s="490">
        <f>SUM(R759:U763)</f>
        <v>10</v>
      </c>
      <c r="W759" s="490">
        <f>+SUM(K759:Q763)</f>
        <v>120</v>
      </c>
      <c r="X759" s="490">
        <f>(+I759*J759*W759)/12</f>
        <v>20</v>
      </c>
      <c r="Y759" s="490">
        <f>IF(Y$4=$D759,$X759*Y$5,0)</f>
        <v>0</v>
      </c>
      <c r="Z759" s="490">
        <f t="shared" ref="Z759:AF759" si="136">IF(Z$4=$D759,$X759*Z$5,0)</f>
        <v>0</v>
      </c>
      <c r="AA759" s="490">
        <f t="shared" si="136"/>
        <v>20.86</v>
      </c>
      <c r="AB759" s="490">
        <f t="shared" si="136"/>
        <v>0</v>
      </c>
      <c r="AC759" s="490">
        <f t="shared" si="136"/>
        <v>0</v>
      </c>
      <c r="AD759" s="490">
        <f t="shared" si="136"/>
        <v>0</v>
      </c>
      <c r="AE759" s="490">
        <f t="shared" si="136"/>
        <v>0</v>
      </c>
      <c r="AF759" s="490">
        <f t="shared" si="136"/>
        <v>0</v>
      </c>
      <c r="AG759" s="490"/>
      <c r="AH759" s="193"/>
    </row>
    <row r="760" spans="1:34" x14ac:dyDescent="0.25">
      <c r="A760" s="193"/>
      <c r="B760" s="491"/>
      <c r="C760" s="500"/>
      <c r="D760" s="491"/>
      <c r="E760" s="491"/>
      <c r="F760" s="491"/>
      <c r="G760" s="491"/>
      <c r="H760" s="491"/>
      <c r="I760" s="491"/>
      <c r="J760" s="491"/>
      <c r="K760" s="491"/>
      <c r="L760" s="491"/>
      <c r="M760" s="491"/>
      <c r="N760" s="491"/>
      <c r="O760" s="491"/>
      <c r="P760" s="491"/>
      <c r="Q760" s="491"/>
      <c r="R760" s="213"/>
      <c r="S760" s="215"/>
      <c r="T760" s="216"/>
      <c r="U760" s="214"/>
      <c r="V760" s="491"/>
      <c r="W760" s="491"/>
      <c r="X760" s="491"/>
      <c r="Y760" s="491"/>
      <c r="Z760" s="491"/>
      <c r="AA760" s="491"/>
      <c r="AB760" s="491"/>
      <c r="AC760" s="491"/>
      <c r="AD760" s="491"/>
      <c r="AE760" s="491"/>
      <c r="AF760" s="491"/>
      <c r="AG760" s="491"/>
      <c r="AH760" s="193"/>
    </row>
    <row r="761" spans="1:34" x14ac:dyDescent="0.25">
      <c r="A761" s="193"/>
      <c r="B761" s="491"/>
      <c r="C761" s="500"/>
      <c r="D761" s="491"/>
      <c r="E761" s="491"/>
      <c r="F761" s="491"/>
      <c r="G761" s="491"/>
      <c r="H761" s="491"/>
      <c r="I761" s="491"/>
      <c r="J761" s="491"/>
      <c r="K761" s="491"/>
      <c r="L761" s="491"/>
      <c r="M761" s="491"/>
      <c r="N761" s="491"/>
      <c r="O761" s="491"/>
      <c r="P761" s="491"/>
      <c r="Q761" s="491"/>
      <c r="R761" s="217"/>
      <c r="S761" s="218"/>
      <c r="T761" s="218"/>
      <c r="U761" s="219"/>
      <c r="V761" s="491"/>
      <c r="W761" s="491"/>
      <c r="X761" s="491"/>
      <c r="Y761" s="491"/>
      <c r="Z761" s="491"/>
      <c r="AA761" s="491"/>
      <c r="AB761" s="491"/>
      <c r="AC761" s="491"/>
      <c r="AD761" s="491"/>
      <c r="AE761" s="491"/>
      <c r="AF761" s="491"/>
      <c r="AG761" s="491"/>
      <c r="AH761" s="193"/>
    </row>
    <row r="762" spans="1:34" ht="15.75" thickBot="1" x14ac:dyDescent="0.3">
      <c r="A762" s="193"/>
      <c r="B762" s="491"/>
      <c r="C762" s="500"/>
      <c r="D762" s="491"/>
      <c r="E762" s="491"/>
      <c r="F762" s="491"/>
      <c r="G762" s="491"/>
      <c r="H762" s="491"/>
      <c r="I762" s="491"/>
      <c r="J762" s="491"/>
      <c r="K762" s="491"/>
      <c r="L762" s="491"/>
      <c r="M762" s="491"/>
      <c r="N762" s="491"/>
      <c r="O762" s="491"/>
      <c r="P762" s="491"/>
      <c r="Q762" s="491"/>
      <c r="R762" s="213"/>
      <c r="S762" s="220"/>
      <c r="T762" s="220"/>
      <c r="U762" s="214"/>
      <c r="V762" s="491"/>
      <c r="W762" s="491"/>
      <c r="X762" s="491"/>
      <c r="Y762" s="491"/>
      <c r="Z762" s="491"/>
      <c r="AA762" s="491"/>
      <c r="AB762" s="491"/>
      <c r="AC762" s="491"/>
      <c r="AD762" s="491"/>
      <c r="AE762" s="491"/>
      <c r="AF762" s="491"/>
      <c r="AG762" s="491"/>
      <c r="AH762" s="193"/>
    </row>
    <row r="763" spans="1:34" x14ac:dyDescent="0.25">
      <c r="A763" s="193"/>
      <c r="B763" s="492"/>
      <c r="C763" s="501"/>
      <c r="D763" s="492"/>
      <c r="E763" s="492"/>
      <c r="F763" s="492"/>
      <c r="G763" s="492"/>
      <c r="H763" s="492"/>
      <c r="I763" s="492"/>
      <c r="J763" s="492"/>
      <c r="K763" s="492"/>
      <c r="L763" s="492"/>
      <c r="M763" s="492"/>
      <c r="N763" s="492"/>
      <c r="O763" s="492"/>
      <c r="P763" s="492"/>
      <c r="Q763" s="492"/>
      <c r="R763" s="221"/>
      <c r="S763" s="493">
        <f>L759/12</f>
        <v>10</v>
      </c>
      <c r="T763" s="493"/>
      <c r="U763" s="222"/>
      <c r="V763" s="492"/>
      <c r="W763" s="492"/>
      <c r="X763" s="492"/>
      <c r="Y763" s="492"/>
      <c r="Z763" s="492"/>
      <c r="AA763" s="492"/>
      <c r="AB763" s="492"/>
      <c r="AC763" s="492"/>
      <c r="AD763" s="492"/>
      <c r="AE763" s="492"/>
      <c r="AF763" s="492"/>
      <c r="AG763" s="492"/>
      <c r="AH763" s="193"/>
    </row>
    <row r="764" spans="1:34" x14ac:dyDescent="0.25">
      <c r="A764" s="193"/>
      <c r="B764" s="490"/>
      <c r="C764" s="499" t="s">
        <v>271</v>
      </c>
      <c r="D764" s="490">
        <v>5</v>
      </c>
      <c r="E764" s="490">
        <v>0.625</v>
      </c>
      <c r="F764" s="490"/>
      <c r="G764" s="490"/>
      <c r="H764" s="490"/>
      <c r="I764" s="490">
        <v>2</v>
      </c>
      <c r="J764" s="490">
        <v>2</v>
      </c>
      <c r="K764" s="490">
        <v>30</v>
      </c>
      <c r="L764" s="490">
        <v>30</v>
      </c>
      <c r="M764" s="490"/>
      <c r="N764" s="490"/>
      <c r="O764" s="490"/>
      <c r="P764" s="490"/>
      <c r="Q764" s="490"/>
      <c r="R764" s="213"/>
      <c r="S764" s="498"/>
      <c r="T764" s="498"/>
      <c r="U764" s="214"/>
      <c r="V764" s="490">
        <f>SUM(R764:U768)</f>
        <v>5</v>
      </c>
      <c r="W764" s="490">
        <f>+SUM(K764:Q768)</f>
        <v>60</v>
      </c>
      <c r="X764" s="490">
        <f>(+I764*J764*W764)/12</f>
        <v>20</v>
      </c>
      <c r="Y764" s="490">
        <f t="shared" ref="Y764:AF764" si="137">IF(Y$4=$D764,$X764*Y$5,0)</f>
        <v>0</v>
      </c>
      <c r="Z764" s="490">
        <f t="shared" si="137"/>
        <v>0</v>
      </c>
      <c r="AA764" s="490">
        <f t="shared" si="137"/>
        <v>20.86</v>
      </c>
      <c r="AB764" s="490">
        <f t="shared" si="137"/>
        <v>0</v>
      </c>
      <c r="AC764" s="490">
        <f t="shared" si="137"/>
        <v>0</v>
      </c>
      <c r="AD764" s="490">
        <f t="shared" si="137"/>
        <v>0</v>
      </c>
      <c r="AE764" s="490">
        <f t="shared" si="137"/>
        <v>0</v>
      </c>
      <c r="AF764" s="490">
        <f t="shared" si="137"/>
        <v>0</v>
      </c>
      <c r="AG764" s="490"/>
      <c r="AH764" s="193"/>
    </row>
    <row r="765" spans="1:34" x14ac:dyDescent="0.25">
      <c r="A765" s="193"/>
      <c r="B765" s="491"/>
      <c r="C765" s="500"/>
      <c r="D765" s="491"/>
      <c r="E765" s="491"/>
      <c r="F765" s="491"/>
      <c r="G765" s="491"/>
      <c r="H765" s="491"/>
      <c r="I765" s="491"/>
      <c r="J765" s="491"/>
      <c r="K765" s="491"/>
      <c r="L765" s="491"/>
      <c r="M765" s="491"/>
      <c r="N765" s="491"/>
      <c r="O765" s="491"/>
      <c r="P765" s="491"/>
      <c r="Q765" s="491"/>
      <c r="R765" s="213"/>
      <c r="S765" s="215"/>
      <c r="T765" s="216"/>
      <c r="U765" s="214"/>
      <c r="V765" s="491"/>
      <c r="W765" s="491"/>
      <c r="X765" s="491"/>
      <c r="Y765" s="491"/>
      <c r="Z765" s="491"/>
      <c r="AA765" s="491"/>
      <c r="AB765" s="491"/>
      <c r="AC765" s="491"/>
      <c r="AD765" s="491"/>
      <c r="AE765" s="491"/>
      <c r="AF765" s="491"/>
      <c r="AG765" s="491"/>
      <c r="AH765" s="193"/>
    </row>
    <row r="766" spans="1:34" x14ac:dyDescent="0.25">
      <c r="A766" s="193"/>
      <c r="B766" s="491"/>
      <c r="C766" s="500"/>
      <c r="D766" s="491"/>
      <c r="E766" s="491"/>
      <c r="F766" s="491"/>
      <c r="G766" s="491"/>
      <c r="H766" s="491"/>
      <c r="I766" s="491"/>
      <c r="J766" s="491"/>
      <c r="K766" s="491"/>
      <c r="L766" s="491"/>
      <c r="M766" s="491"/>
      <c r="N766" s="491"/>
      <c r="O766" s="491"/>
      <c r="P766" s="491"/>
      <c r="Q766" s="491"/>
      <c r="R766" s="217">
        <f>K764/12</f>
        <v>2.5</v>
      </c>
      <c r="S766" s="223"/>
      <c r="T766" s="195"/>
      <c r="U766" s="219"/>
      <c r="V766" s="491"/>
      <c r="W766" s="491"/>
      <c r="X766" s="491"/>
      <c r="Y766" s="491"/>
      <c r="Z766" s="491"/>
      <c r="AA766" s="491"/>
      <c r="AB766" s="491"/>
      <c r="AC766" s="491"/>
      <c r="AD766" s="491"/>
      <c r="AE766" s="491"/>
      <c r="AF766" s="491"/>
      <c r="AG766" s="491"/>
      <c r="AH766" s="193"/>
    </row>
    <row r="767" spans="1:34" ht="15.75" thickBot="1" x14ac:dyDescent="0.3">
      <c r="A767" s="193"/>
      <c r="B767" s="491"/>
      <c r="C767" s="500"/>
      <c r="D767" s="491"/>
      <c r="E767" s="491"/>
      <c r="F767" s="491"/>
      <c r="G767" s="491"/>
      <c r="H767" s="491"/>
      <c r="I767" s="491"/>
      <c r="J767" s="491"/>
      <c r="K767" s="491"/>
      <c r="L767" s="491"/>
      <c r="M767" s="491"/>
      <c r="N767" s="491"/>
      <c r="O767" s="491"/>
      <c r="P767" s="491"/>
      <c r="Q767" s="491"/>
      <c r="R767" s="213"/>
      <c r="S767" s="224"/>
      <c r="T767" s="220"/>
      <c r="U767" s="214"/>
      <c r="V767" s="491"/>
      <c r="W767" s="491"/>
      <c r="X767" s="491"/>
      <c r="Y767" s="491"/>
      <c r="Z767" s="491"/>
      <c r="AA767" s="491"/>
      <c r="AB767" s="491"/>
      <c r="AC767" s="491"/>
      <c r="AD767" s="491"/>
      <c r="AE767" s="491"/>
      <c r="AF767" s="491"/>
      <c r="AG767" s="491"/>
      <c r="AH767" s="193"/>
    </row>
    <row r="768" spans="1:34" x14ac:dyDescent="0.25">
      <c r="A768" s="193"/>
      <c r="B768" s="492"/>
      <c r="C768" s="501"/>
      <c r="D768" s="492"/>
      <c r="E768" s="492"/>
      <c r="F768" s="492"/>
      <c r="G768" s="492"/>
      <c r="H768" s="492"/>
      <c r="I768" s="492"/>
      <c r="J768" s="492"/>
      <c r="K768" s="492"/>
      <c r="L768" s="492"/>
      <c r="M768" s="492"/>
      <c r="N768" s="492"/>
      <c r="O768" s="492"/>
      <c r="P768" s="492"/>
      <c r="Q768" s="492"/>
      <c r="R768" s="221"/>
      <c r="S768" s="493">
        <f>L764/12</f>
        <v>2.5</v>
      </c>
      <c r="T768" s="493"/>
      <c r="U768" s="222"/>
      <c r="V768" s="492"/>
      <c r="W768" s="492"/>
      <c r="X768" s="492"/>
      <c r="Y768" s="492"/>
      <c r="Z768" s="492"/>
      <c r="AA768" s="492"/>
      <c r="AB768" s="492"/>
      <c r="AC768" s="492"/>
      <c r="AD768" s="492"/>
      <c r="AE768" s="492"/>
      <c r="AF768" s="492"/>
      <c r="AG768" s="492"/>
      <c r="AH768" s="193"/>
    </row>
    <row r="769" spans="1:34" x14ac:dyDescent="0.25">
      <c r="A769" s="193"/>
      <c r="B769" s="490"/>
      <c r="C769" s="490" t="s">
        <v>277</v>
      </c>
      <c r="D769" s="490">
        <v>5</v>
      </c>
      <c r="E769" s="490">
        <v>0.625</v>
      </c>
      <c r="F769" s="494">
        <v>16</v>
      </c>
      <c r="G769" s="229"/>
      <c r="H769" s="490"/>
      <c r="I769" s="490">
        <f>ROUNDUP(G759/F769,0)</f>
        <v>8</v>
      </c>
      <c r="J769" s="490">
        <v>1</v>
      </c>
      <c r="K769" s="490">
        <v>6</v>
      </c>
      <c r="L769" s="490">
        <f>4*12-2</f>
        <v>46</v>
      </c>
      <c r="M769" s="490">
        <f>11*12</f>
        <v>132</v>
      </c>
      <c r="N769" s="490"/>
      <c r="O769" s="490"/>
      <c r="P769" s="490"/>
      <c r="Q769" s="490"/>
      <c r="R769" s="213"/>
      <c r="S769" s="498"/>
      <c r="T769" s="498"/>
      <c r="U769" s="214"/>
      <c r="V769" s="490">
        <f>SUM(R769:U773)</f>
        <v>15.333333333333334</v>
      </c>
      <c r="W769" s="490">
        <f>+SUM(K769:Q773)</f>
        <v>184</v>
      </c>
      <c r="X769" s="490">
        <f>(+I769*J769*W769)/12</f>
        <v>122.66666666666667</v>
      </c>
      <c r="Y769" s="490">
        <f t="shared" ref="Y769:AF769" si="138">IF(Y$4=$D769,$X769*Y$5,0)</f>
        <v>0</v>
      </c>
      <c r="Z769" s="490">
        <f t="shared" si="138"/>
        <v>0</v>
      </c>
      <c r="AA769" s="490">
        <f t="shared" si="138"/>
        <v>127.94133333333333</v>
      </c>
      <c r="AB769" s="490">
        <f t="shared" si="138"/>
        <v>0</v>
      </c>
      <c r="AC769" s="490">
        <f t="shared" si="138"/>
        <v>0</v>
      </c>
      <c r="AD769" s="490">
        <f t="shared" si="138"/>
        <v>0</v>
      </c>
      <c r="AE769" s="490">
        <f t="shared" si="138"/>
        <v>0</v>
      </c>
      <c r="AF769" s="490">
        <f t="shared" si="138"/>
        <v>0</v>
      </c>
      <c r="AG769" s="490"/>
      <c r="AH769" s="193"/>
    </row>
    <row r="770" spans="1:34" x14ac:dyDescent="0.25">
      <c r="A770" s="193"/>
      <c r="B770" s="491"/>
      <c r="C770" s="491"/>
      <c r="D770" s="491"/>
      <c r="E770" s="491"/>
      <c r="F770" s="495"/>
      <c r="G770" s="230"/>
      <c r="H770" s="491"/>
      <c r="I770" s="491"/>
      <c r="J770" s="491"/>
      <c r="K770" s="491"/>
      <c r="L770" s="491"/>
      <c r="M770" s="491"/>
      <c r="N770" s="491"/>
      <c r="O770" s="491"/>
      <c r="P770" s="491"/>
      <c r="Q770" s="491"/>
      <c r="R770" s="213"/>
      <c r="S770" s="215"/>
      <c r="T770" s="216"/>
      <c r="U770" s="214"/>
      <c r="V770" s="491"/>
      <c r="W770" s="491"/>
      <c r="X770" s="491"/>
      <c r="Y770" s="491"/>
      <c r="Z770" s="491"/>
      <c r="AA770" s="491"/>
      <c r="AB770" s="491"/>
      <c r="AC770" s="491"/>
      <c r="AD770" s="491"/>
      <c r="AE770" s="491"/>
      <c r="AF770" s="491"/>
      <c r="AG770" s="491"/>
      <c r="AH770" s="193"/>
    </row>
    <row r="771" spans="1:34" x14ac:dyDescent="0.25">
      <c r="A771" s="193"/>
      <c r="B771" s="491"/>
      <c r="C771" s="491"/>
      <c r="D771" s="491"/>
      <c r="E771" s="491"/>
      <c r="F771" s="495"/>
      <c r="G771" s="230"/>
      <c r="H771" s="491"/>
      <c r="I771" s="491"/>
      <c r="J771" s="491"/>
      <c r="K771" s="491"/>
      <c r="L771" s="491"/>
      <c r="M771" s="491"/>
      <c r="N771" s="491"/>
      <c r="O771" s="491"/>
      <c r="P771" s="491"/>
      <c r="Q771" s="491"/>
      <c r="R771" s="225">
        <f>K769/12</f>
        <v>0.5</v>
      </c>
      <c r="S771" s="218"/>
      <c r="T771" s="218"/>
      <c r="U771" s="219"/>
      <c r="V771" s="491"/>
      <c r="W771" s="491"/>
      <c r="X771" s="491"/>
      <c r="Y771" s="491"/>
      <c r="Z771" s="491"/>
      <c r="AA771" s="491"/>
      <c r="AB771" s="491"/>
      <c r="AC771" s="491"/>
      <c r="AD771" s="491"/>
      <c r="AE771" s="491"/>
      <c r="AF771" s="491"/>
      <c r="AG771" s="491"/>
      <c r="AH771" s="193"/>
    </row>
    <row r="772" spans="1:34" ht="15.75" thickBot="1" x14ac:dyDescent="0.3">
      <c r="A772" s="193"/>
      <c r="B772" s="491"/>
      <c r="C772" s="491"/>
      <c r="D772" s="491"/>
      <c r="E772" s="491"/>
      <c r="F772" s="495"/>
      <c r="G772" s="230"/>
      <c r="H772" s="491"/>
      <c r="I772" s="491"/>
      <c r="J772" s="491"/>
      <c r="K772" s="491"/>
      <c r="L772" s="491"/>
      <c r="M772" s="491"/>
      <c r="N772" s="491"/>
      <c r="O772" s="491"/>
      <c r="P772" s="491"/>
      <c r="Q772" s="491"/>
      <c r="R772" s="226"/>
      <c r="S772" s="220"/>
      <c r="T772" s="220"/>
      <c r="U772" s="214"/>
      <c r="V772" s="491"/>
      <c r="W772" s="491"/>
      <c r="X772" s="491"/>
      <c r="Y772" s="491"/>
      <c r="Z772" s="491"/>
      <c r="AA772" s="491"/>
      <c r="AB772" s="491"/>
      <c r="AC772" s="491"/>
      <c r="AD772" s="491"/>
      <c r="AE772" s="491"/>
      <c r="AF772" s="491"/>
      <c r="AG772" s="491"/>
      <c r="AH772" s="193"/>
    </row>
    <row r="773" spans="1:34" x14ac:dyDescent="0.25">
      <c r="A773" s="193"/>
      <c r="B773" s="492"/>
      <c r="C773" s="492"/>
      <c r="D773" s="491"/>
      <c r="E773" s="491"/>
      <c r="F773" s="496"/>
      <c r="G773" s="231"/>
      <c r="H773" s="492"/>
      <c r="I773" s="492"/>
      <c r="J773" s="492"/>
      <c r="K773" s="492"/>
      <c r="L773" s="492"/>
      <c r="M773" s="492"/>
      <c r="N773" s="492"/>
      <c r="O773" s="492"/>
      <c r="P773" s="492"/>
      <c r="Q773" s="492"/>
      <c r="R773" s="221"/>
      <c r="S773" s="493">
        <f>+SUM(L769:M773)/12</f>
        <v>14.833333333333334</v>
      </c>
      <c r="T773" s="493"/>
      <c r="U773" s="222"/>
      <c r="V773" s="492"/>
      <c r="W773" s="492"/>
      <c r="X773" s="492"/>
      <c r="Y773" s="492"/>
      <c r="Z773" s="492"/>
      <c r="AA773" s="492"/>
      <c r="AB773" s="492"/>
      <c r="AC773" s="492"/>
      <c r="AD773" s="492"/>
      <c r="AE773" s="492"/>
      <c r="AF773" s="492"/>
      <c r="AG773" s="492"/>
      <c r="AH773" s="193"/>
    </row>
    <row r="774" spans="1:34" x14ac:dyDescent="0.25">
      <c r="A774" s="193"/>
      <c r="B774" s="490"/>
      <c r="C774" s="490" t="s">
        <v>286</v>
      </c>
      <c r="D774" s="490">
        <v>5</v>
      </c>
      <c r="E774" s="490">
        <v>0.625</v>
      </c>
      <c r="F774" s="494">
        <v>16</v>
      </c>
      <c r="G774" s="229"/>
      <c r="H774" s="490"/>
      <c r="I774" s="490">
        <f>ROUNDUP(M769/F774,0)</f>
        <v>9</v>
      </c>
      <c r="J774" s="490">
        <v>1</v>
      </c>
      <c r="K774" s="490"/>
      <c r="L774" s="490">
        <f>G757-2-2</f>
        <v>120</v>
      </c>
      <c r="M774" s="490"/>
      <c r="N774" s="490"/>
      <c r="O774" s="490"/>
      <c r="P774" s="490"/>
      <c r="Q774" s="490"/>
      <c r="R774" s="213"/>
      <c r="S774" s="498"/>
      <c r="T774" s="498"/>
      <c r="U774" s="214"/>
      <c r="V774" s="490">
        <f>SUM(R774:U778)</f>
        <v>10</v>
      </c>
      <c r="W774" s="490">
        <f>+SUM(K774:Q778)</f>
        <v>120</v>
      </c>
      <c r="X774" s="490">
        <f>(+I774*J774*W774)/12</f>
        <v>90</v>
      </c>
      <c r="Y774" s="490">
        <f t="shared" ref="Y774:AF774" si="139">IF(Y$4=$D774,$X774*Y$5,0)</f>
        <v>0</v>
      </c>
      <c r="Z774" s="490">
        <f t="shared" si="139"/>
        <v>0</v>
      </c>
      <c r="AA774" s="490">
        <f t="shared" si="139"/>
        <v>93.86999999999999</v>
      </c>
      <c r="AB774" s="490">
        <f t="shared" si="139"/>
        <v>0</v>
      </c>
      <c r="AC774" s="490">
        <f t="shared" si="139"/>
        <v>0</v>
      </c>
      <c r="AD774" s="490">
        <f t="shared" si="139"/>
        <v>0</v>
      </c>
      <c r="AE774" s="490">
        <f t="shared" si="139"/>
        <v>0</v>
      </c>
      <c r="AF774" s="490">
        <f t="shared" si="139"/>
        <v>0</v>
      </c>
      <c r="AG774" s="490"/>
      <c r="AH774" s="193"/>
    </row>
    <row r="775" spans="1:34" x14ac:dyDescent="0.25">
      <c r="A775" s="193"/>
      <c r="B775" s="491"/>
      <c r="C775" s="491"/>
      <c r="D775" s="491"/>
      <c r="E775" s="491"/>
      <c r="F775" s="495"/>
      <c r="G775" s="230"/>
      <c r="H775" s="491"/>
      <c r="I775" s="491"/>
      <c r="J775" s="491"/>
      <c r="K775" s="491"/>
      <c r="L775" s="491"/>
      <c r="M775" s="491"/>
      <c r="N775" s="491"/>
      <c r="O775" s="491"/>
      <c r="P775" s="491"/>
      <c r="Q775" s="491"/>
      <c r="R775" s="213"/>
      <c r="S775" s="215"/>
      <c r="T775" s="216"/>
      <c r="U775" s="214"/>
      <c r="V775" s="491"/>
      <c r="W775" s="491"/>
      <c r="X775" s="491"/>
      <c r="Y775" s="491"/>
      <c r="Z775" s="491"/>
      <c r="AA775" s="491"/>
      <c r="AB775" s="491"/>
      <c r="AC775" s="491"/>
      <c r="AD775" s="491"/>
      <c r="AE775" s="491"/>
      <c r="AF775" s="491"/>
      <c r="AG775" s="491"/>
      <c r="AH775" s="193"/>
    </row>
    <row r="776" spans="1:34" x14ac:dyDescent="0.25">
      <c r="A776" s="193"/>
      <c r="B776" s="491"/>
      <c r="C776" s="491"/>
      <c r="D776" s="491"/>
      <c r="E776" s="491"/>
      <c r="F776" s="495"/>
      <c r="G776" s="230"/>
      <c r="H776" s="491"/>
      <c r="I776" s="491"/>
      <c r="J776" s="491"/>
      <c r="K776" s="491"/>
      <c r="L776" s="491"/>
      <c r="M776" s="491"/>
      <c r="N776" s="491"/>
      <c r="O776" s="491"/>
      <c r="P776" s="491"/>
      <c r="Q776" s="497"/>
      <c r="R776" s="217"/>
      <c r="S776" s="218"/>
      <c r="T776" s="218"/>
      <c r="U776" s="219"/>
      <c r="V776" s="491"/>
      <c r="W776" s="491"/>
      <c r="X776" s="491"/>
      <c r="Y776" s="491"/>
      <c r="Z776" s="491"/>
      <c r="AA776" s="491"/>
      <c r="AB776" s="491"/>
      <c r="AC776" s="491"/>
      <c r="AD776" s="491"/>
      <c r="AE776" s="491"/>
      <c r="AF776" s="491"/>
      <c r="AG776" s="491"/>
      <c r="AH776" s="193"/>
    </row>
    <row r="777" spans="1:34" ht="15.75" thickBot="1" x14ac:dyDescent="0.3">
      <c r="A777" s="193"/>
      <c r="B777" s="491"/>
      <c r="C777" s="491"/>
      <c r="D777" s="491"/>
      <c r="E777" s="491"/>
      <c r="F777" s="495"/>
      <c r="G777" s="230"/>
      <c r="H777" s="491"/>
      <c r="I777" s="491"/>
      <c r="J777" s="491"/>
      <c r="K777" s="491"/>
      <c r="L777" s="491"/>
      <c r="M777" s="491"/>
      <c r="N777" s="491"/>
      <c r="O777" s="491"/>
      <c r="P777" s="491"/>
      <c r="Q777" s="497"/>
      <c r="R777" s="213"/>
      <c r="S777" s="220"/>
      <c r="T777" s="220"/>
      <c r="U777" s="214"/>
      <c r="V777" s="491"/>
      <c r="W777" s="491"/>
      <c r="X777" s="491"/>
      <c r="Y777" s="491"/>
      <c r="Z777" s="491"/>
      <c r="AA777" s="491"/>
      <c r="AB777" s="491"/>
      <c r="AC777" s="491"/>
      <c r="AD777" s="491"/>
      <c r="AE777" s="491"/>
      <c r="AF777" s="491"/>
      <c r="AG777" s="491"/>
      <c r="AH777" s="193"/>
    </row>
    <row r="778" spans="1:34" x14ac:dyDescent="0.25">
      <c r="A778" s="193"/>
      <c r="B778" s="492"/>
      <c r="C778" s="492"/>
      <c r="D778" s="492"/>
      <c r="E778" s="492"/>
      <c r="F778" s="496"/>
      <c r="G778" s="231"/>
      <c r="H778" s="492"/>
      <c r="I778" s="492"/>
      <c r="J778" s="492"/>
      <c r="K778" s="492"/>
      <c r="L778" s="492"/>
      <c r="M778" s="492"/>
      <c r="N778" s="492"/>
      <c r="O778" s="492"/>
      <c r="P778" s="492"/>
      <c r="Q778" s="492"/>
      <c r="R778" s="221"/>
      <c r="S778" s="493">
        <f>L774/12</f>
        <v>10</v>
      </c>
      <c r="T778" s="493"/>
      <c r="U778" s="222"/>
      <c r="V778" s="492"/>
      <c r="W778" s="492"/>
      <c r="X778" s="492"/>
      <c r="Y778" s="492"/>
      <c r="Z778" s="492"/>
      <c r="AA778" s="492"/>
      <c r="AB778" s="492"/>
      <c r="AC778" s="492"/>
      <c r="AD778" s="492"/>
      <c r="AE778" s="492"/>
      <c r="AF778" s="492"/>
      <c r="AG778" s="492"/>
      <c r="AH778" s="193"/>
    </row>
    <row r="779" spans="1:34" ht="15.75" thickBot="1" x14ac:dyDescent="0.3">
      <c r="A779" s="195"/>
      <c r="B779" s="200" t="s">
        <v>272</v>
      </c>
      <c r="C779" s="199" t="s">
        <v>380</v>
      </c>
      <c r="D779" s="197">
        <v>60</v>
      </c>
      <c r="E779" s="201">
        <v>8</v>
      </c>
      <c r="F779" s="202"/>
      <c r="G779" s="202">
        <f>(28*12)+11</f>
        <v>347</v>
      </c>
      <c r="H779" s="202">
        <v>24</v>
      </c>
      <c r="I779" s="202">
        <v>12</v>
      </c>
      <c r="J779" s="202">
        <v>12</v>
      </c>
      <c r="K779" s="199"/>
      <c r="L779" s="199"/>
      <c r="M779" s="199"/>
      <c r="N779" s="199"/>
      <c r="O779" s="199"/>
      <c r="P779" s="199"/>
      <c r="Q779" s="198"/>
      <c r="R779" s="196"/>
      <c r="S779" s="196"/>
      <c r="T779" s="196"/>
      <c r="U779" s="196"/>
      <c r="V779" s="203"/>
      <c r="W779" s="202"/>
      <c r="X779" s="202"/>
      <c r="Y779" s="199"/>
      <c r="Z779" s="199"/>
      <c r="AA779" s="199"/>
      <c r="AB779" s="199"/>
      <c r="AC779" s="199"/>
      <c r="AD779" s="199"/>
      <c r="AE779" s="199"/>
      <c r="AF779" s="199"/>
      <c r="AG779" s="199"/>
      <c r="AH779" s="195"/>
    </row>
    <row r="780" spans="1:34" ht="15.75" thickBot="1" x14ac:dyDescent="0.3">
      <c r="A780" s="193"/>
      <c r="B780" s="204"/>
      <c r="C780" s="205"/>
      <c r="D780" s="194"/>
      <c r="E780" s="206"/>
      <c r="F780" s="205"/>
      <c r="G780" s="205"/>
      <c r="H780" s="207">
        <v>3</v>
      </c>
      <c r="I780" s="207">
        <v>2</v>
      </c>
      <c r="J780" s="205"/>
      <c r="K780" s="205"/>
      <c r="L780" s="205"/>
      <c r="M780" s="205"/>
      <c r="N780" s="205"/>
      <c r="O780" s="205"/>
      <c r="P780" s="205"/>
      <c r="Q780" s="208"/>
      <c r="R780" s="209"/>
      <c r="S780" s="210"/>
      <c r="T780" s="210"/>
      <c r="U780" s="211"/>
      <c r="V780" s="212"/>
      <c r="W780" s="204"/>
      <c r="X780" s="204"/>
      <c r="Y780" s="205"/>
      <c r="Z780" s="205"/>
      <c r="AA780" s="205"/>
      <c r="AB780" s="205"/>
      <c r="AC780" s="205"/>
      <c r="AD780" s="205"/>
      <c r="AE780" s="205"/>
      <c r="AF780" s="205"/>
      <c r="AG780" s="205"/>
      <c r="AH780" s="193"/>
    </row>
    <row r="781" spans="1:34" x14ac:dyDescent="0.25">
      <c r="A781" s="193"/>
      <c r="B781" s="490"/>
      <c r="C781" s="499" t="s">
        <v>265</v>
      </c>
      <c r="D781" s="490">
        <v>5</v>
      </c>
      <c r="E781" s="490">
        <v>0.625</v>
      </c>
      <c r="F781" s="490"/>
      <c r="G781" s="490">
        <f>G779</f>
        <v>347</v>
      </c>
      <c r="H781" s="490"/>
      <c r="I781" s="490">
        <v>2</v>
      </c>
      <c r="J781" s="490">
        <v>1</v>
      </c>
      <c r="K781" s="490"/>
      <c r="L781" s="490">
        <f>G779-2-2</f>
        <v>343</v>
      </c>
      <c r="M781" s="490"/>
      <c r="N781" s="490"/>
      <c r="O781" s="490"/>
      <c r="P781" s="490"/>
      <c r="Q781" s="490"/>
      <c r="R781" s="213"/>
      <c r="S781" s="502"/>
      <c r="T781" s="502"/>
      <c r="U781" s="214"/>
      <c r="V781" s="490">
        <f>SUM(R781:U785)</f>
        <v>28.583333333333332</v>
      </c>
      <c r="W781" s="490">
        <f>+SUM(K781:Q785)</f>
        <v>343</v>
      </c>
      <c r="X781" s="490">
        <f>(+I781*J781*W781)/12</f>
        <v>57.166666666666664</v>
      </c>
      <c r="Y781" s="490">
        <f>IF(Y$4=$D781,$X781*Y$5,0)</f>
        <v>0</v>
      </c>
      <c r="Z781" s="490">
        <f t="shared" ref="Z781:AF781" si="140">IF(Z$4=$D781,$X781*Z$5,0)</f>
        <v>0</v>
      </c>
      <c r="AA781" s="490">
        <f t="shared" si="140"/>
        <v>59.624833333333328</v>
      </c>
      <c r="AB781" s="490">
        <f t="shared" si="140"/>
        <v>0</v>
      </c>
      <c r="AC781" s="490">
        <f t="shared" si="140"/>
        <v>0</v>
      </c>
      <c r="AD781" s="490">
        <f t="shared" si="140"/>
        <v>0</v>
      </c>
      <c r="AE781" s="490">
        <f t="shared" si="140"/>
        <v>0</v>
      </c>
      <c r="AF781" s="490">
        <f t="shared" si="140"/>
        <v>0</v>
      </c>
      <c r="AG781" s="490"/>
      <c r="AH781" s="193"/>
    </row>
    <row r="782" spans="1:34" x14ac:dyDescent="0.25">
      <c r="A782" s="193"/>
      <c r="B782" s="491"/>
      <c r="C782" s="500"/>
      <c r="D782" s="491"/>
      <c r="E782" s="491"/>
      <c r="F782" s="491"/>
      <c r="G782" s="491"/>
      <c r="H782" s="491"/>
      <c r="I782" s="491"/>
      <c r="J782" s="491"/>
      <c r="K782" s="491"/>
      <c r="L782" s="491"/>
      <c r="M782" s="491"/>
      <c r="N782" s="491"/>
      <c r="O782" s="491"/>
      <c r="P782" s="491"/>
      <c r="Q782" s="491"/>
      <c r="R782" s="213"/>
      <c r="S782" s="215"/>
      <c r="T782" s="216"/>
      <c r="U782" s="214"/>
      <c r="V782" s="491"/>
      <c r="W782" s="491"/>
      <c r="X782" s="491"/>
      <c r="Y782" s="491"/>
      <c r="Z782" s="491"/>
      <c r="AA782" s="491"/>
      <c r="AB782" s="491"/>
      <c r="AC782" s="491"/>
      <c r="AD782" s="491"/>
      <c r="AE782" s="491"/>
      <c r="AF782" s="491"/>
      <c r="AG782" s="491"/>
      <c r="AH782" s="193"/>
    </row>
    <row r="783" spans="1:34" x14ac:dyDescent="0.25">
      <c r="A783" s="193"/>
      <c r="B783" s="491"/>
      <c r="C783" s="500"/>
      <c r="D783" s="491"/>
      <c r="E783" s="491"/>
      <c r="F783" s="491"/>
      <c r="G783" s="491"/>
      <c r="H783" s="491"/>
      <c r="I783" s="491"/>
      <c r="J783" s="491"/>
      <c r="K783" s="491"/>
      <c r="L783" s="491"/>
      <c r="M783" s="491"/>
      <c r="N783" s="491"/>
      <c r="O783" s="491"/>
      <c r="P783" s="491"/>
      <c r="Q783" s="491"/>
      <c r="R783" s="217"/>
      <c r="S783" s="218"/>
      <c r="T783" s="218"/>
      <c r="U783" s="219"/>
      <c r="V783" s="491"/>
      <c r="W783" s="491"/>
      <c r="X783" s="491"/>
      <c r="Y783" s="491"/>
      <c r="Z783" s="491"/>
      <c r="AA783" s="491"/>
      <c r="AB783" s="491"/>
      <c r="AC783" s="491"/>
      <c r="AD783" s="491"/>
      <c r="AE783" s="491"/>
      <c r="AF783" s="491"/>
      <c r="AG783" s="491"/>
      <c r="AH783" s="193"/>
    </row>
    <row r="784" spans="1:34" ht="15.75" thickBot="1" x14ac:dyDescent="0.3">
      <c r="A784" s="193"/>
      <c r="B784" s="491"/>
      <c r="C784" s="500"/>
      <c r="D784" s="491"/>
      <c r="E784" s="491"/>
      <c r="F784" s="491"/>
      <c r="G784" s="491"/>
      <c r="H784" s="491"/>
      <c r="I784" s="491"/>
      <c r="J784" s="491"/>
      <c r="K784" s="491"/>
      <c r="L784" s="491"/>
      <c r="M784" s="491"/>
      <c r="N784" s="491"/>
      <c r="O784" s="491"/>
      <c r="P784" s="491"/>
      <c r="Q784" s="491"/>
      <c r="R784" s="213"/>
      <c r="S784" s="220"/>
      <c r="T784" s="220"/>
      <c r="U784" s="214"/>
      <c r="V784" s="491"/>
      <c r="W784" s="491"/>
      <c r="X784" s="491"/>
      <c r="Y784" s="491"/>
      <c r="Z784" s="491"/>
      <c r="AA784" s="491"/>
      <c r="AB784" s="491"/>
      <c r="AC784" s="491"/>
      <c r="AD784" s="491"/>
      <c r="AE784" s="491"/>
      <c r="AF784" s="491"/>
      <c r="AG784" s="491"/>
      <c r="AH784" s="193"/>
    </row>
    <row r="785" spans="1:34" x14ac:dyDescent="0.25">
      <c r="A785" s="193"/>
      <c r="B785" s="492"/>
      <c r="C785" s="501"/>
      <c r="D785" s="492"/>
      <c r="E785" s="492"/>
      <c r="F785" s="492"/>
      <c r="G785" s="492"/>
      <c r="H785" s="492"/>
      <c r="I785" s="492"/>
      <c r="J785" s="492"/>
      <c r="K785" s="492"/>
      <c r="L785" s="492"/>
      <c r="M785" s="492"/>
      <c r="N785" s="492"/>
      <c r="O785" s="492"/>
      <c r="P785" s="492"/>
      <c r="Q785" s="492"/>
      <c r="R785" s="221"/>
      <c r="S785" s="493">
        <f>L781/12</f>
        <v>28.583333333333332</v>
      </c>
      <c r="T785" s="493"/>
      <c r="U785" s="222"/>
      <c r="V785" s="492"/>
      <c r="W785" s="492"/>
      <c r="X785" s="492"/>
      <c r="Y785" s="492"/>
      <c r="Z785" s="492"/>
      <c r="AA785" s="492"/>
      <c r="AB785" s="492"/>
      <c r="AC785" s="492"/>
      <c r="AD785" s="492"/>
      <c r="AE785" s="492"/>
      <c r="AF785" s="492"/>
      <c r="AG785" s="492"/>
      <c r="AH785" s="193"/>
    </row>
    <row r="786" spans="1:34" x14ac:dyDescent="0.25">
      <c r="A786" s="193"/>
      <c r="B786" s="490"/>
      <c r="C786" s="499" t="s">
        <v>271</v>
      </c>
      <c r="D786" s="490">
        <v>5</v>
      </c>
      <c r="E786" s="490">
        <v>0.625</v>
      </c>
      <c r="F786" s="490"/>
      <c r="G786" s="490"/>
      <c r="H786" s="490"/>
      <c r="I786" s="490">
        <v>2</v>
      </c>
      <c r="J786" s="490">
        <v>2</v>
      </c>
      <c r="K786" s="490">
        <v>30</v>
      </c>
      <c r="L786" s="490">
        <v>30</v>
      </c>
      <c r="M786" s="490"/>
      <c r="N786" s="490"/>
      <c r="O786" s="490"/>
      <c r="P786" s="490"/>
      <c r="Q786" s="490"/>
      <c r="R786" s="213"/>
      <c r="S786" s="498"/>
      <c r="T786" s="498"/>
      <c r="U786" s="214"/>
      <c r="V786" s="490">
        <f>SUM(R786:U790)</f>
        <v>5</v>
      </c>
      <c r="W786" s="490">
        <f>+SUM(K786:Q790)</f>
        <v>60</v>
      </c>
      <c r="X786" s="490">
        <f>(+I786*J786*W786)/12</f>
        <v>20</v>
      </c>
      <c r="Y786" s="490">
        <f t="shared" ref="Y786:AF786" si="141">IF(Y$4=$D786,$X786*Y$5,0)</f>
        <v>0</v>
      </c>
      <c r="Z786" s="490">
        <f t="shared" si="141"/>
        <v>0</v>
      </c>
      <c r="AA786" s="490">
        <f t="shared" si="141"/>
        <v>20.86</v>
      </c>
      <c r="AB786" s="490">
        <f t="shared" si="141"/>
        <v>0</v>
      </c>
      <c r="AC786" s="490">
        <f t="shared" si="141"/>
        <v>0</v>
      </c>
      <c r="AD786" s="490">
        <f t="shared" si="141"/>
        <v>0</v>
      </c>
      <c r="AE786" s="490">
        <f t="shared" si="141"/>
        <v>0</v>
      </c>
      <c r="AF786" s="490">
        <f t="shared" si="141"/>
        <v>0</v>
      </c>
      <c r="AG786" s="490"/>
      <c r="AH786" s="193"/>
    </row>
    <row r="787" spans="1:34" x14ac:dyDescent="0.25">
      <c r="A787" s="193"/>
      <c r="B787" s="491"/>
      <c r="C787" s="500"/>
      <c r="D787" s="491"/>
      <c r="E787" s="491"/>
      <c r="F787" s="491"/>
      <c r="G787" s="491"/>
      <c r="H787" s="491"/>
      <c r="I787" s="491"/>
      <c r="J787" s="491"/>
      <c r="K787" s="491"/>
      <c r="L787" s="491"/>
      <c r="M787" s="491"/>
      <c r="N787" s="491"/>
      <c r="O787" s="491"/>
      <c r="P787" s="491"/>
      <c r="Q787" s="491"/>
      <c r="R787" s="213"/>
      <c r="S787" s="215"/>
      <c r="T787" s="216"/>
      <c r="U787" s="214"/>
      <c r="V787" s="491"/>
      <c r="W787" s="491"/>
      <c r="X787" s="491"/>
      <c r="Y787" s="491"/>
      <c r="Z787" s="491"/>
      <c r="AA787" s="491"/>
      <c r="AB787" s="491"/>
      <c r="AC787" s="491"/>
      <c r="AD787" s="491"/>
      <c r="AE787" s="491"/>
      <c r="AF787" s="491"/>
      <c r="AG787" s="491"/>
      <c r="AH787" s="193"/>
    </row>
    <row r="788" spans="1:34" x14ac:dyDescent="0.25">
      <c r="A788" s="193"/>
      <c r="B788" s="491"/>
      <c r="C788" s="500"/>
      <c r="D788" s="491"/>
      <c r="E788" s="491"/>
      <c r="F788" s="491"/>
      <c r="G788" s="491"/>
      <c r="H788" s="491"/>
      <c r="I788" s="491"/>
      <c r="J788" s="491"/>
      <c r="K788" s="491"/>
      <c r="L788" s="491"/>
      <c r="M788" s="491"/>
      <c r="N788" s="491"/>
      <c r="O788" s="491"/>
      <c r="P788" s="491"/>
      <c r="Q788" s="491"/>
      <c r="R788" s="217">
        <f>K786/12</f>
        <v>2.5</v>
      </c>
      <c r="S788" s="223"/>
      <c r="T788" s="195"/>
      <c r="U788" s="219"/>
      <c r="V788" s="491"/>
      <c r="W788" s="491"/>
      <c r="X788" s="491"/>
      <c r="Y788" s="491"/>
      <c r="Z788" s="491"/>
      <c r="AA788" s="491"/>
      <c r="AB788" s="491"/>
      <c r="AC788" s="491"/>
      <c r="AD788" s="491"/>
      <c r="AE788" s="491"/>
      <c r="AF788" s="491"/>
      <c r="AG788" s="491"/>
      <c r="AH788" s="193"/>
    </row>
    <row r="789" spans="1:34" ht="15.75" thickBot="1" x14ac:dyDescent="0.3">
      <c r="A789" s="193"/>
      <c r="B789" s="491"/>
      <c r="C789" s="500"/>
      <c r="D789" s="491"/>
      <c r="E789" s="491"/>
      <c r="F789" s="491"/>
      <c r="G789" s="491"/>
      <c r="H789" s="491"/>
      <c r="I789" s="491"/>
      <c r="J789" s="491"/>
      <c r="K789" s="491"/>
      <c r="L789" s="491"/>
      <c r="M789" s="491"/>
      <c r="N789" s="491"/>
      <c r="O789" s="491"/>
      <c r="P789" s="491"/>
      <c r="Q789" s="491"/>
      <c r="R789" s="213"/>
      <c r="S789" s="224"/>
      <c r="T789" s="220"/>
      <c r="U789" s="214"/>
      <c r="V789" s="491"/>
      <c r="W789" s="491"/>
      <c r="X789" s="491"/>
      <c r="Y789" s="491"/>
      <c r="Z789" s="491"/>
      <c r="AA789" s="491"/>
      <c r="AB789" s="491"/>
      <c r="AC789" s="491"/>
      <c r="AD789" s="491"/>
      <c r="AE789" s="491"/>
      <c r="AF789" s="491"/>
      <c r="AG789" s="491"/>
      <c r="AH789" s="193"/>
    </row>
    <row r="790" spans="1:34" x14ac:dyDescent="0.25">
      <c r="A790" s="193"/>
      <c r="B790" s="492"/>
      <c r="C790" s="501"/>
      <c r="D790" s="492"/>
      <c r="E790" s="492"/>
      <c r="F790" s="492"/>
      <c r="G790" s="492"/>
      <c r="H790" s="492"/>
      <c r="I790" s="492"/>
      <c r="J790" s="492"/>
      <c r="K790" s="492"/>
      <c r="L790" s="492"/>
      <c r="M790" s="492"/>
      <c r="N790" s="492"/>
      <c r="O790" s="492"/>
      <c r="P790" s="492"/>
      <c r="Q790" s="492"/>
      <c r="R790" s="221"/>
      <c r="S790" s="493">
        <f>L786/12</f>
        <v>2.5</v>
      </c>
      <c r="T790" s="493"/>
      <c r="U790" s="222"/>
      <c r="V790" s="492"/>
      <c r="W790" s="492"/>
      <c r="X790" s="492"/>
      <c r="Y790" s="492"/>
      <c r="Z790" s="492"/>
      <c r="AA790" s="492"/>
      <c r="AB790" s="492"/>
      <c r="AC790" s="492"/>
      <c r="AD790" s="492"/>
      <c r="AE790" s="492"/>
      <c r="AF790" s="492"/>
      <c r="AG790" s="492"/>
      <c r="AH790" s="193"/>
    </row>
    <row r="791" spans="1:34" x14ac:dyDescent="0.25">
      <c r="A791" s="193"/>
      <c r="B791" s="490"/>
      <c r="C791" s="490" t="s">
        <v>277</v>
      </c>
      <c r="D791" s="490">
        <v>5</v>
      </c>
      <c r="E791" s="490">
        <v>0.625</v>
      </c>
      <c r="F791" s="494">
        <v>16</v>
      </c>
      <c r="G791" s="229"/>
      <c r="H791" s="490"/>
      <c r="I791" s="490">
        <f>ROUNDUP(G781/F791,0)</f>
        <v>22</v>
      </c>
      <c r="J791" s="490">
        <v>1</v>
      </c>
      <c r="K791" s="490">
        <v>6</v>
      </c>
      <c r="L791" s="490">
        <f>4*12-2</f>
        <v>46</v>
      </c>
      <c r="M791" s="490">
        <f>11*12</f>
        <v>132</v>
      </c>
      <c r="N791" s="490"/>
      <c r="O791" s="490"/>
      <c r="P791" s="490"/>
      <c r="Q791" s="490"/>
      <c r="R791" s="213"/>
      <c r="S791" s="498"/>
      <c r="T791" s="498"/>
      <c r="U791" s="214"/>
      <c r="V791" s="490">
        <f>SUM(R791:U795)</f>
        <v>15.333333333333334</v>
      </c>
      <c r="W791" s="490">
        <f>+SUM(K791:Q795)</f>
        <v>184</v>
      </c>
      <c r="X791" s="490">
        <f>(+I791*J791*W791)/12</f>
        <v>337.33333333333331</v>
      </c>
      <c r="Y791" s="490">
        <f t="shared" ref="Y791:AF791" si="142">IF(Y$4=$D791,$X791*Y$5,0)</f>
        <v>0</v>
      </c>
      <c r="Z791" s="490">
        <f t="shared" si="142"/>
        <v>0</v>
      </c>
      <c r="AA791" s="490">
        <f t="shared" si="142"/>
        <v>351.8386666666666</v>
      </c>
      <c r="AB791" s="490">
        <f t="shared" si="142"/>
        <v>0</v>
      </c>
      <c r="AC791" s="490">
        <f t="shared" si="142"/>
        <v>0</v>
      </c>
      <c r="AD791" s="490">
        <f t="shared" si="142"/>
        <v>0</v>
      </c>
      <c r="AE791" s="490">
        <f t="shared" si="142"/>
        <v>0</v>
      </c>
      <c r="AF791" s="490">
        <f t="shared" si="142"/>
        <v>0</v>
      </c>
      <c r="AG791" s="490"/>
      <c r="AH791" s="193"/>
    </row>
    <row r="792" spans="1:34" x14ac:dyDescent="0.25">
      <c r="A792" s="193"/>
      <c r="B792" s="491"/>
      <c r="C792" s="491"/>
      <c r="D792" s="491"/>
      <c r="E792" s="491"/>
      <c r="F792" s="495"/>
      <c r="G792" s="230"/>
      <c r="H792" s="491"/>
      <c r="I792" s="491"/>
      <c r="J792" s="491"/>
      <c r="K792" s="491"/>
      <c r="L792" s="491"/>
      <c r="M792" s="491"/>
      <c r="N792" s="491"/>
      <c r="O792" s="491"/>
      <c r="P792" s="491"/>
      <c r="Q792" s="491"/>
      <c r="R792" s="213"/>
      <c r="S792" s="215"/>
      <c r="T792" s="216"/>
      <c r="U792" s="214"/>
      <c r="V792" s="491"/>
      <c r="W792" s="491"/>
      <c r="X792" s="491"/>
      <c r="Y792" s="491"/>
      <c r="Z792" s="491"/>
      <c r="AA792" s="491"/>
      <c r="AB792" s="491"/>
      <c r="AC792" s="491"/>
      <c r="AD792" s="491"/>
      <c r="AE792" s="491"/>
      <c r="AF792" s="491"/>
      <c r="AG792" s="491"/>
      <c r="AH792" s="193"/>
    </row>
    <row r="793" spans="1:34" x14ac:dyDescent="0.25">
      <c r="A793" s="193"/>
      <c r="B793" s="491"/>
      <c r="C793" s="491"/>
      <c r="D793" s="491"/>
      <c r="E793" s="491"/>
      <c r="F793" s="495"/>
      <c r="G793" s="230"/>
      <c r="H793" s="491"/>
      <c r="I793" s="491"/>
      <c r="J793" s="491"/>
      <c r="K793" s="491"/>
      <c r="L793" s="491"/>
      <c r="M793" s="491"/>
      <c r="N793" s="491"/>
      <c r="O793" s="491"/>
      <c r="P793" s="491"/>
      <c r="Q793" s="491"/>
      <c r="R793" s="225">
        <f>K791/12</f>
        <v>0.5</v>
      </c>
      <c r="S793" s="218"/>
      <c r="T793" s="218"/>
      <c r="U793" s="219"/>
      <c r="V793" s="491"/>
      <c r="W793" s="491"/>
      <c r="X793" s="491"/>
      <c r="Y793" s="491"/>
      <c r="Z793" s="491"/>
      <c r="AA793" s="491"/>
      <c r="AB793" s="491"/>
      <c r="AC793" s="491"/>
      <c r="AD793" s="491"/>
      <c r="AE793" s="491"/>
      <c r="AF793" s="491"/>
      <c r="AG793" s="491"/>
      <c r="AH793" s="193"/>
    </row>
    <row r="794" spans="1:34" ht="15.75" thickBot="1" x14ac:dyDescent="0.3">
      <c r="A794" s="193"/>
      <c r="B794" s="491"/>
      <c r="C794" s="491"/>
      <c r="D794" s="491"/>
      <c r="E794" s="491"/>
      <c r="F794" s="495"/>
      <c r="G794" s="230"/>
      <c r="H794" s="491"/>
      <c r="I794" s="491"/>
      <c r="J794" s="491"/>
      <c r="K794" s="491"/>
      <c r="L794" s="491"/>
      <c r="M794" s="491"/>
      <c r="N794" s="491"/>
      <c r="O794" s="491"/>
      <c r="P794" s="491"/>
      <c r="Q794" s="491"/>
      <c r="R794" s="226"/>
      <c r="S794" s="220"/>
      <c r="T794" s="220"/>
      <c r="U794" s="214"/>
      <c r="V794" s="491"/>
      <c r="W794" s="491"/>
      <c r="X794" s="491"/>
      <c r="Y794" s="491"/>
      <c r="Z794" s="491"/>
      <c r="AA794" s="491"/>
      <c r="AB794" s="491"/>
      <c r="AC794" s="491"/>
      <c r="AD794" s="491"/>
      <c r="AE794" s="491"/>
      <c r="AF794" s="491"/>
      <c r="AG794" s="491"/>
      <c r="AH794" s="193"/>
    </row>
    <row r="795" spans="1:34" x14ac:dyDescent="0.25">
      <c r="A795" s="193"/>
      <c r="B795" s="492"/>
      <c r="C795" s="492"/>
      <c r="D795" s="491"/>
      <c r="E795" s="491"/>
      <c r="F795" s="496"/>
      <c r="G795" s="231"/>
      <c r="H795" s="492"/>
      <c r="I795" s="492"/>
      <c r="J795" s="492"/>
      <c r="K795" s="492"/>
      <c r="L795" s="492"/>
      <c r="M795" s="492"/>
      <c r="N795" s="492"/>
      <c r="O795" s="492"/>
      <c r="P795" s="492"/>
      <c r="Q795" s="492"/>
      <c r="R795" s="221"/>
      <c r="S795" s="493">
        <f>+SUM(L791:M795)/12</f>
        <v>14.833333333333334</v>
      </c>
      <c r="T795" s="493"/>
      <c r="U795" s="222"/>
      <c r="V795" s="492"/>
      <c r="W795" s="492"/>
      <c r="X795" s="492"/>
      <c r="Y795" s="492"/>
      <c r="Z795" s="492"/>
      <c r="AA795" s="492"/>
      <c r="AB795" s="492"/>
      <c r="AC795" s="492"/>
      <c r="AD795" s="492"/>
      <c r="AE795" s="492"/>
      <c r="AF795" s="492"/>
      <c r="AG795" s="492"/>
      <c r="AH795" s="193"/>
    </row>
    <row r="796" spans="1:34" x14ac:dyDescent="0.25">
      <c r="A796" s="193"/>
      <c r="B796" s="490"/>
      <c r="C796" s="490" t="s">
        <v>286</v>
      </c>
      <c r="D796" s="490">
        <v>5</v>
      </c>
      <c r="E796" s="490">
        <v>0.625</v>
      </c>
      <c r="F796" s="494">
        <v>16</v>
      </c>
      <c r="G796" s="229"/>
      <c r="H796" s="490"/>
      <c r="I796" s="490">
        <f>ROUNDUP(M791/F796,0)</f>
        <v>9</v>
      </c>
      <c r="J796" s="490">
        <v>1</v>
      </c>
      <c r="K796" s="490"/>
      <c r="L796" s="490">
        <f>G779-2-2</f>
        <v>343</v>
      </c>
      <c r="M796" s="490"/>
      <c r="N796" s="490"/>
      <c r="O796" s="490"/>
      <c r="P796" s="490"/>
      <c r="Q796" s="490"/>
      <c r="R796" s="213"/>
      <c r="S796" s="498"/>
      <c r="T796" s="498"/>
      <c r="U796" s="214"/>
      <c r="V796" s="490">
        <f>SUM(R796:U800)</f>
        <v>28.583333333333332</v>
      </c>
      <c r="W796" s="490">
        <f>+SUM(K796:Q800)</f>
        <v>343</v>
      </c>
      <c r="X796" s="490">
        <f>(+I796*J796*W796)/12</f>
        <v>257.25</v>
      </c>
      <c r="Y796" s="490">
        <f t="shared" ref="Y796:AF796" si="143">IF(Y$4=$D796,$X796*Y$5,0)</f>
        <v>0</v>
      </c>
      <c r="Z796" s="490">
        <f t="shared" si="143"/>
        <v>0</v>
      </c>
      <c r="AA796" s="490">
        <f t="shared" si="143"/>
        <v>268.31174999999996</v>
      </c>
      <c r="AB796" s="490">
        <f t="shared" si="143"/>
        <v>0</v>
      </c>
      <c r="AC796" s="490">
        <f t="shared" si="143"/>
        <v>0</v>
      </c>
      <c r="AD796" s="490">
        <f t="shared" si="143"/>
        <v>0</v>
      </c>
      <c r="AE796" s="490">
        <f t="shared" si="143"/>
        <v>0</v>
      </c>
      <c r="AF796" s="490">
        <f t="shared" si="143"/>
        <v>0</v>
      </c>
      <c r="AG796" s="490"/>
      <c r="AH796" s="193"/>
    </row>
    <row r="797" spans="1:34" x14ac:dyDescent="0.25">
      <c r="A797" s="193"/>
      <c r="B797" s="491"/>
      <c r="C797" s="491"/>
      <c r="D797" s="491"/>
      <c r="E797" s="491"/>
      <c r="F797" s="495"/>
      <c r="G797" s="230"/>
      <c r="H797" s="491"/>
      <c r="I797" s="491"/>
      <c r="J797" s="491"/>
      <c r="K797" s="491"/>
      <c r="L797" s="491"/>
      <c r="M797" s="491"/>
      <c r="N797" s="491"/>
      <c r="O797" s="491"/>
      <c r="P797" s="491"/>
      <c r="Q797" s="491"/>
      <c r="R797" s="213"/>
      <c r="S797" s="215"/>
      <c r="T797" s="216"/>
      <c r="U797" s="214"/>
      <c r="V797" s="491"/>
      <c r="W797" s="491"/>
      <c r="X797" s="491"/>
      <c r="Y797" s="491"/>
      <c r="Z797" s="491"/>
      <c r="AA797" s="491"/>
      <c r="AB797" s="491"/>
      <c r="AC797" s="491"/>
      <c r="AD797" s="491"/>
      <c r="AE797" s="491"/>
      <c r="AF797" s="491"/>
      <c r="AG797" s="491"/>
      <c r="AH797" s="193"/>
    </row>
    <row r="798" spans="1:34" x14ac:dyDescent="0.25">
      <c r="A798" s="193"/>
      <c r="B798" s="491"/>
      <c r="C798" s="491"/>
      <c r="D798" s="491"/>
      <c r="E798" s="491"/>
      <c r="F798" s="495"/>
      <c r="G798" s="230"/>
      <c r="H798" s="491"/>
      <c r="I798" s="491"/>
      <c r="J798" s="491"/>
      <c r="K798" s="491"/>
      <c r="L798" s="491"/>
      <c r="M798" s="491"/>
      <c r="N798" s="491"/>
      <c r="O798" s="491"/>
      <c r="P798" s="491"/>
      <c r="Q798" s="497"/>
      <c r="R798" s="217"/>
      <c r="S798" s="218"/>
      <c r="T798" s="218"/>
      <c r="U798" s="219"/>
      <c r="V798" s="491"/>
      <c r="W798" s="491"/>
      <c r="X798" s="491"/>
      <c r="Y798" s="491"/>
      <c r="Z798" s="491"/>
      <c r="AA798" s="491"/>
      <c r="AB798" s="491"/>
      <c r="AC798" s="491"/>
      <c r="AD798" s="491"/>
      <c r="AE798" s="491"/>
      <c r="AF798" s="491"/>
      <c r="AG798" s="491"/>
      <c r="AH798" s="193"/>
    </row>
    <row r="799" spans="1:34" ht="15.75" thickBot="1" x14ac:dyDescent="0.3">
      <c r="A799" s="193"/>
      <c r="B799" s="491"/>
      <c r="C799" s="491"/>
      <c r="D799" s="491"/>
      <c r="E799" s="491"/>
      <c r="F799" s="495"/>
      <c r="G799" s="230"/>
      <c r="H799" s="491"/>
      <c r="I799" s="491"/>
      <c r="J799" s="491"/>
      <c r="K799" s="491"/>
      <c r="L799" s="491"/>
      <c r="M799" s="491"/>
      <c r="N799" s="491"/>
      <c r="O799" s="491"/>
      <c r="P799" s="491"/>
      <c r="Q799" s="497"/>
      <c r="R799" s="213"/>
      <c r="S799" s="220"/>
      <c r="T799" s="220"/>
      <c r="U799" s="214"/>
      <c r="V799" s="491"/>
      <c r="W799" s="491"/>
      <c r="X799" s="491"/>
      <c r="Y799" s="491"/>
      <c r="Z799" s="491"/>
      <c r="AA799" s="491"/>
      <c r="AB799" s="491"/>
      <c r="AC799" s="491"/>
      <c r="AD799" s="491"/>
      <c r="AE799" s="491"/>
      <c r="AF799" s="491"/>
      <c r="AG799" s="491"/>
      <c r="AH799" s="193"/>
    </row>
    <row r="800" spans="1:34" x14ac:dyDescent="0.25">
      <c r="A800" s="193"/>
      <c r="B800" s="492"/>
      <c r="C800" s="492"/>
      <c r="D800" s="492"/>
      <c r="E800" s="492"/>
      <c r="F800" s="496"/>
      <c r="G800" s="231"/>
      <c r="H800" s="492"/>
      <c r="I800" s="492"/>
      <c r="J800" s="492"/>
      <c r="K800" s="492"/>
      <c r="L800" s="492"/>
      <c r="M800" s="492"/>
      <c r="N800" s="492"/>
      <c r="O800" s="492"/>
      <c r="P800" s="492"/>
      <c r="Q800" s="492"/>
      <c r="R800" s="221"/>
      <c r="S800" s="493">
        <f>L796/12</f>
        <v>28.583333333333332</v>
      </c>
      <c r="T800" s="493"/>
      <c r="U800" s="222"/>
      <c r="V800" s="492"/>
      <c r="W800" s="492"/>
      <c r="X800" s="492"/>
      <c r="Y800" s="492"/>
      <c r="Z800" s="492"/>
      <c r="AA800" s="492"/>
      <c r="AB800" s="492"/>
      <c r="AC800" s="492"/>
      <c r="AD800" s="492"/>
      <c r="AE800" s="492"/>
      <c r="AF800" s="492"/>
      <c r="AG800" s="492"/>
      <c r="AH800" s="193"/>
    </row>
    <row r="801" spans="1:34" ht="15.75" thickBot="1" x14ac:dyDescent="0.3">
      <c r="A801" s="195"/>
      <c r="B801" s="200" t="s">
        <v>273</v>
      </c>
      <c r="C801" s="199" t="s">
        <v>380</v>
      </c>
      <c r="D801" s="197">
        <v>60</v>
      </c>
      <c r="E801" s="201">
        <v>8</v>
      </c>
      <c r="F801" s="202"/>
      <c r="G801" s="202">
        <f>(28*12)+11</f>
        <v>347</v>
      </c>
      <c r="H801" s="202">
        <v>24</v>
      </c>
      <c r="I801" s="202">
        <v>12</v>
      </c>
      <c r="J801" s="202">
        <v>12</v>
      </c>
      <c r="K801" s="199"/>
      <c r="L801" s="199"/>
      <c r="M801" s="199"/>
      <c r="N801" s="199"/>
      <c r="O801" s="199"/>
      <c r="P801" s="199"/>
      <c r="Q801" s="198"/>
      <c r="R801" s="196"/>
      <c r="S801" s="196"/>
      <c r="T801" s="196"/>
      <c r="U801" s="196"/>
      <c r="V801" s="203"/>
      <c r="W801" s="202"/>
      <c r="X801" s="202"/>
      <c r="Y801" s="199"/>
      <c r="Z801" s="199"/>
      <c r="AA801" s="199"/>
      <c r="AB801" s="199"/>
      <c r="AC801" s="199"/>
      <c r="AD801" s="199"/>
      <c r="AE801" s="199"/>
      <c r="AF801" s="199"/>
      <c r="AG801" s="199"/>
      <c r="AH801" s="195"/>
    </row>
    <row r="802" spans="1:34" ht="15.75" thickBot="1" x14ac:dyDescent="0.3">
      <c r="A802" s="193"/>
      <c r="B802" s="204"/>
      <c r="C802" s="205"/>
      <c r="D802" s="194"/>
      <c r="E802" s="206"/>
      <c r="F802" s="205"/>
      <c r="G802" s="205"/>
      <c r="H802" s="207">
        <v>3</v>
      </c>
      <c r="I802" s="207">
        <v>2</v>
      </c>
      <c r="J802" s="205"/>
      <c r="K802" s="205"/>
      <c r="L802" s="205"/>
      <c r="M802" s="205"/>
      <c r="N802" s="205"/>
      <c r="O802" s="205"/>
      <c r="P802" s="205"/>
      <c r="Q802" s="208"/>
      <c r="R802" s="209"/>
      <c r="S802" s="210"/>
      <c r="T802" s="210"/>
      <c r="U802" s="211"/>
      <c r="V802" s="212"/>
      <c r="W802" s="204"/>
      <c r="X802" s="204"/>
      <c r="Y802" s="205"/>
      <c r="Z802" s="205"/>
      <c r="AA802" s="205"/>
      <c r="AB802" s="205"/>
      <c r="AC802" s="205"/>
      <c r="AD802" s="205"/>
      <c r="AE802" s="205"/>
      <c r="AF802" s="205"/>
      <c r="AG802" s="205"/>
      <c r="AH802" s="193"/>
    </row>
    <row r="803" spans="1:34" x14ac:dyDescent="0.25">
      <c r="A803" s="193"/>
      <c r="B803" s="490"/>
      <c r="C803" s="499" t="s">
        <v>265</v>
      </c>
      <c r="D803" s="490">
        <v>5</v>
      </c>
      <c r="E803" s="490">
        <v>0.625</v>
      </c>
      <c r="F803" s="490"/>
      <c r="G803" s="490">
        <f>G801</f>
        <v>347</v>
      </c>
      <c r="H803" s="490"/>
      <c r="I803" s="490">
        <v>2</v>
      </c>
      <c r="J803" s="490">
        <v>1</v>
      </c>
      <c r="K803" s="490"/>
      <c r="L803" s="490">
        <f>G801-2-2</f>
        <v>343</v>
      </c>
      <c r="M803" s="490"/>
      <c r="N803" s="490"/>
      <c r="O803" s="490"/>
      <c r="P803" s="490"/>
      <c r="Q803" s="490"/>
      <c r="R803" s="213"/>
      <c r="S803" s="502"/>
      <c r="T803" s="502"/>
      <c r="U803" s="214"/>
      <c r="V803" s="490">
        <f>SUM(R803:U807)</f>
        <v>28.583333333333332</v>
      </c>
      <c r="W803" s="490">
        <f>+SUM(K803:Q807)</f>
        <v>343</v>
      </c>
      <c r="X803" s="490">
        <f>(+I803*J803*W803)/12</f>
        <v>57.166666666666664</v>
      </c>
      <c r="Y803" s="490">
        <f>IF(Y$4=$D803,$X803*Y$5,0)</f>
        <v>0</v>
      </c>
      <c r="Z803" s="490">
        <f t="shared" ref="Z803:AF803" si="144">IF(Z$4=$D803,$X803*Z$5,0)</f>
        <v>0</v>
      </c>
      <c r="AA803" s="490">
        <f t="shared" si="144"/>
        <v>59.624833333333328</v>
      </c>
      <c r="AB803" s="490">
        <f t="shared" si="144"/>
        <v>0</v>
      </c>
      <c r="AC803" s="490">
        <f t="shared" si="144"/>
        <v>0</v>
      </c>
      <c r="AD803" s="490">
        <f t="shared" si="144"/>
        <v>0</v>
      </c>
      <c r="AE803" s="490">
        <f t="shared" si="144"/>
        <v>0</v>
      </c>
      <c r="AF803" s="490">
        <f t="shared" si="144"/>
        <v>0</v>
      </c>
      <c r="AG803" s="490"/>
      <c r="AH803" s="193"/>
    </row>
    <row r="804" spans="1:34" x14ac:dyDescent="0.25">
      <c r="A804" s="193"/>
      <c r="B804" s="491"/>
      <c r="C804" s="500"/>
      <c r="D804" s="491"/>
      <c r="E804" s="491"/>
      <c r="F804" s="491"/>
      <c r="G804" s="491"/>
      <c r="H804" s="491"/>
      <c r="I804" s="491"/>
      <c r="J804" s="491"/>
      <c r="K804" s="491"/>
      <c r="L804" s="491"/>
      <c r="M804" s="491"/>
      <c r="N804" s="491"/>
      <c r="O804" s="491"/>
      <c r="P804" s="491"/>
      <c r="Q804" s="491"/>
      <c r="R804" s="213"/>
      <c r="S804" s="215"/>
      <c r="T804" s="216"/>
      <c r="U804" s="214"/>
      <c r="V804" s="491"/>
      <c r="W804" s="491"/>
      <c r="X804" s="491"/>
      <c r="Y804" s="491"/>
      <c r="Z804" s="491"/>
      <c r="AA804" s="491"/>
      <c r="AB804" s="491"/>
      <c r="AC804" s="491"/>
      <c r="AD804" s="491"/>
      <c r="AE804" s="491"/>
      <c r="AF804" s="491"/>
      <c r="AG804" s="491"/>
      <c r="AH804" s="193"/>
    </row>
    <row r="805" spans="1:34" x14ac:dyDescent="0.25">
      <c r="A805" s="193"/>
      <c r="B805" s="491"/>
      <c r="C805" s="500"/>
      <c r="D805" s="491"/>
      <c r="E805" s="491"/>
      <c r="F805" s="491"/>
      <c r="G805" s="491"/>
      <c r="H805" s="491"/>
      <c r="I805" s="491"/>
      <c r="J805" s="491"/>
      <c r="K805" s="491"/>
      <c r="L805" s="491"/>
      <c r="M805" s="491"/>
      <c r="N805" s="491"/>
      <c r="O805" s="491"/>
      <c r="P805" s="491"/>
      <c r="Q805" s="491"/>
      <c r="R805" s="217"/>
      <c r="S805" s="218"/>
      <c r="T805" s="218"/>
      <c r="U805" s="219"/>
      <c r="V805" s="491"/>
      <c r="W805" s="491"/>
      <c r="X805" s="491"/>
      <c r="Y805" s="491"/>
      <c r="Z805" s="491"/>
      <c r="AA805" s="491"/>
      <c r="AB805" s="491"/>
      <c r="AC805" s="491"/>
      <c r="AD805" s="491"/>
      <c r="AE805" s="491"/>
      <c r="AF805" s="491"/>
      <c r="AG805" s="491"/>
      <c r="AH805" s="193"/>
    </row>
    <row r="806" spans="1:34" ht="15.75" thickBot="1" x14ac:dyDescent="0.3">
      <c r="A806" s="193"/>
      <c r="B806" s="491"/>
      <c r="C806" s="500"/>
      <c r="D806" s="491"/>
      <c r="E806" s="491"/>
      <c r="F806" s="491"/>
      <c r="G806" s="491"/>
      <c r="H806" s="491"/>
      <c r="I806" s="491"/>
      <c r="J806" s="491"/>
      <c r="K806" s="491"/>
      <c r="L806" s="491"/>
      <c r="M806" s="491"/>
      <c r="N806" s="491"/>
      <c r="O806" s="491"/>
      <c r="P806" s="491"/>
      <c r="Q806" s="491"/>
      <c r="R806" s="213"/>
      <c r="S806" s="220"/>
      <c r="T806" s="220"/>
      <c r="U806" s="214"/>
      <c r="V806" s="491"/>
      <c r="W806" s="491"/>
      <c r="X806" s="491"/>
      <c r="Y806" s="491"/>
      <c r="Z806" s="491"/>
      <c r="AA806" s="491"/>
      <c r="AB806" s="491"/>
      <c r="AC806" s="491"/>
      <c r="AD806" s="491"/>
      <c r="AE806" s="491"/>
      <c r="AF806" s="491"/>
      <c r="AG806" s="491"/>
      <c r="AH806" s="193"/>
    </row>
    <row r="807" spans="1:34" x14ac:dyDescent="0.25">
      <c r="A807" s="193"/>
      <c r="B807" s="492"/>
      <c r="C807" s="501"/>
      <c r="D807" s="492"/>
      <c r="E807" s="492"/>
      <c r="F807" s="492"/>
      <c r="G807" s="492"/>
      <c r="H807" s="492"/>
      <c r="I807" s="492"/>
      <c r="J807" s="492"/>
      <c r="K807" s="492"/>
      <c r="L807" s="492"/>
      <c r="M807" s="492"/>
      <c r="N807" s="492"/>
      <c r="O807" s="492"/>
      <c r="P807" s="492"/>
      <c r="Q807" s="492"/>
      <c r="R807" s="221"/>
      <c r="S807" s="493">
        <f>L803/12</f>
        <v>28.583333333333332</v>
      </c>
      <c r="T807" s="493"/>
      <c r="U807" s="222"/>
      <c r="V807" s="492"/>
      <c r="W807" s="492"/>
      <c r="X807" s="492"/>
      <c r="Y807" s="492"/>
      <c r="Z807" s="492"/>
      <c r="AA807" s="492"/>
      <c r="AB807" s="492"/>
      <c r="AC807" s="492"/>
      <c r="AD807" s="492"/>
      <c r="AE807" s="492"/>
      <c r="AF807" s="492"/>
      <c r="AG807" s="492"/>
      <c r="AH807" s="193"/>
    </row>
    <row r="808" spans="1:34" x14ac:dyDescent="0.25">
      <c r="A808" s="193"/>
      <c r="B808" s="490"/>
      <c r="C808" s="499" t="s">
        <v>271</v>
      </c>
      <c r="D808" s="490">
        <v>5</v>
      </c>
      <c r="E808" s="490">
        <v>0.625</v>
      </c>
      <c r="F808" s="490"/>
      <c r="G808" s="490"/>
      <c r="H808" s="490"/>
      <c r="I808" s="490">
        <v>2</v>
      </c>
      <c r="J808" s="490">
        <v>2</v>
      </c>
      <c r="K808" s="490">
        <v>30</v>
      </c>
      <c r="L808" s="490">
        <v>30</v>
      </c>
      <c r="M808" s="490"/>
      <c r="N808" s="490"/>
      <c r="O808" s="490"/>
      <c r="P808" s="490"/>
      <c r="Q808" s="490"/>
      <c r="R808" s="213"/>
      <c r="S808" s="498"/>
      <c r="T808" s="498"/>
      <c r="U808" s="214"/>
      <c r="V808" s="490">
        <f>SUM(R808:U812)</f>
        <v>5</v>
      </c>
      <c r="W808" s="490">
        <f>+SUM(K808:Q812)</f>
        <v>60</v>
      </c>
      <c r="X808" s="490">
        <f>(+I808*J808*W808)/12</f>
        <v>20</v>
      </c>
      <c r="Y808" s="490">
        <f t="shared" ref="Y808:AF808" si="145">IF(Y$4=$D808,$X808*Y$5,0)</f>
        <v>0</v>
      </c>
      <c r="Z808" s="490">
        <f t="shared" si="145"/>
        <v>0</v>
      </c>
      <c r="AA808" s="490">
        <f t="shared" si="145"/>
        <v>20.86</v>
      </c>
      <c r="AB808" s="490">
        <f t="shared" si="145"/>
        <v>0</v>
      </c>
      <c r="AC808" s="490">
        <f t="shared" si="145"/>
        <v>0</v>
      </c>
      <c r="AD808" s="490">
        <f t="shared" si="145"/>
        <v>0</v>
      </c>
      <c r="AE808" s="490">
        <f t="shared" si="145"/>
        <v>0</v>
      </c>
      <c r="AF808" s="490">
        <f t="shared" si="145"/>
        <v>0</v>
      </c>
      <c r="AG808" s="490"/>
      <c r="AH808" s="193"/>
    </row>
    <row r="809" spans="1:34" x14ac:dyDescent="0.25">
      <c r="A809" s="193"/>
      <c r="B809" s="491"/>
      <c r="C809" s="500"/>
      <c r="D809" s="491"/>
      <c r="E809" s="491"/>
      <c r="F809" s="491"/>
      <c r="G809" s="491"/>
      <c r="H809" s="491"/>
      <c r="I809" s="491"/>
      <c r="J809" s="491"/>
      <c r="K809" s="491"/>
      <c r="L809" s="491"/>
      <c r="M809" s="491"/>
      <c r="N809" s="491"/>
      <c r="O809" s="491"/>
      <c r="P809" s="491"/>
      <c r="Q809" s="491"/>
      <c r="R809" s="213"/>
      <c r="S809" s="215"/>
      <c r="T809" s="216"/>
      <c r="U809" s="214"/>
      <c r="V809" s="491"/>
      <c r="W809" s="491"/>
      <c r="X809" s="491"/>
      <c r="Y809" s="491"/>
      <c r="Z809" s="491"/>
      <c r="AA809" s="491"/>
      <c r="AB809" s="491"/>
      <c r="AC809" s="491"/>
      <c r="AD809" s="491"/>
      <c r="AE809" s="491"/>
      <c r="AF809" s="491"/>
      <c r="AG809" s="491"/>
      <c r="AH809" s="193"/>
    </row>
    <row r="810" spans="1:34" x14ac:dyDescent="0.25">
      <c r="A810" s="193"/>
      <c r="B810" s="491"/>
      <c r="C810" s="500"/>
      <c r="D810" s="491"/>
      <c r="E810" s="491"/>
      <c r="F810" s="491"/>
      <c r="G810" s="491"/>
      <c r="H810" s="491"/>
      <c r="I810" s="491"/>
      <c r="J810" s="491"/>
      <c r="K810" s="491"/>
      <c r="L810" s="491"/>
      <c r="M810" s="491"/>
      <c r="N810" s="491"/>
      <c r="O810" s="491"/>
      <c r="P810" s="491"/>
      <c r="Q810" s="491"/>
      <c r="R810" s="217">
        <f>K808/12</f>
        <v>2.5</v>
      </c>
      <c r="S810" s="223"/>
      <c r="T810" s="195"/>
      <c r="U810" s="219"/>
      <c r="V810" s="491"/>
      <c r="W810" s="491"/>
      <c r="X810" s="491"/>
      <c r="Y810" s="491"/>
      <c r="Z810" s="491"/>
      <c r="AA810" s="491"/>
      <c r="AB810" s="491"/>
      <c r="AC810" s="491"/>
      <c r="AD810" s="491"/>
      <c r="AE810" s="491"/>
      <c r="AF810" s="491"/>
      <c r="AG810" s="491"/>
      <c r="AH810" s="193"/>
    </row>
    <row r="811" spans="1:34" ht="15.75" thickBot="1" x14ac:dyDescent="0.3">
      <c r="A811" s="193"/>
      <c r="B811" s="491"/>
      <c r="C811" s="500"/>
      <c r="D811" s="491"/>
      <c r="E811" s="491"/>
      <c r="F811" s="491"/>
      <c r="G811" s="491"/>
      <c r="H811" s="491"/>
      <c r="I811" s="491"/>
      <c r="J811" s="491"/>
      <c r="K811" s="491"/>
      <c r="L811" s="491"/>
      <c r="M811" s="491"/>
      <c r="N811" s="491"/>
      <c r="O811" s="491"/>
      <c r="P811" s="491"/>
      <c r="Q811" s="491"/>
      <c r="R811" s="213"/>
      <c r="S811" s="224"/>
      <c r="T811" s="220"/>
      <c r="U811" s="214"/>
      <c r="V811" s="491"/>
      <c r="W811" s="491"/>
      <c r="X811" s="491"/>
      <c r="Y811" s="491"/>
      <c r="Z811" s="491"/>
      <c r="AA811" s="491"/>
      <c r="AB811" s="491"/>
      <c r="AC811" s="491"/>
      <c r="AD811" s="491"/>
      <c r="AE811" s="491"/>
      <c r="AF811" s="491"/>
      <c r="AG811" s="491"/>
      <c r="AH811" s="193"/>
    </row>
    <row r="812" spans="1:34" x14ac:dyDescent="0.25">
      <c r="A812" s="193"/>
      <c r="B812" s="492"/>
      <c r="C812" s="501"/>
      <c r="D812" s="492"/>
      <c r="E812" s="492"/>
      <c r="F812" s="492"/>
      <c r="G812" s="492"/>
      <c r="H812" s="492"/>
      <c r="I812" s="492"/>
      <c r="J812" s="492"/>
      <c r="K812" s="492"/>
      <c r="L812" s="492"/>
      <c r="M812" s="492"/>
      <c r="N812" s="492"/>
      <c r="O812" s="492"/>
      <c r="P812" s="492"/>
      <c r="Q812" s="492"/>
      <c r="R812" s="221"/>
      <c r="S812" s="493">
        <f>L808/12</f>
        <v>2.5</v>
      </c>
      <c r="T812" s="493"/>
      <c r="U812" s="222"/>
      <c r="V812" s="492"/>
      <c r="W812" s="492"/>
      <c r="X812" s="492"/>
      <c r="Y812" s="492"/>
      <c r="Z812" s="492"/>
      <c r="AA812" s="492"/>
      <c r="AB812" s="492"/>
      <c r="AC812" s="492"/>
      <c r="AD812" s="492"/>
      <c r="AE812" s="492"/>
      <c r="AF812" s="492"/>
      <c r="AG812" s="492"/>
      <c r="AH812" s="193"/>
    </row>
    <row r="813" spans="1:34" x14ac:dyDescent="0.25">
      <c r="A813" s="193"/>
      <c r="B813" s="490"/>
      <c r="C813" s="490" t="s">
        <v>277</v>
      </c>
      <c r="D813" s="490">
        <v>5</v>
      </c>
      <c r="E813" s="490">
        <v>0.625</v>
      </c>
      <c r="F813" s="494">
        <v>16</v>
      </c>
      <c r="G813" s="229"/>
      <c r="H813" s="490"/>
      <c r="I813" s="490">
        <f>ROUNDUP(G803/F813,0)</f>
        <v>22</v>
      </c>
      <c r="J813" s="490">
        <v>1</v>
      </c>
      <c r="K813" s="490">
        <v>6</v>
      </c>
      <c r="L813" s="490">
        <f>4*12-2</f>
        <v>46</v>
      </c>
      <c r="M813" s="490">
        <f>11*12</f>
        <v>132</v>
      </c>
      <c r="N813" s="490"/>
      <c r="O813" s="490"/>
      <c r="P813" s="490"/>
      <c r="Q813" s="490"/>
      <c r="R813" s="213"/>
      <c r="S813" s="498"/>
      <c r="T813" s="498"/>
      <c r="U813" s="214"/>
      <c r="V813" s="490">
        <f>SUM(R813:U817)</f>
        <v>15.333333333333334</v>
      </c>
      <c r="W813" s="490">
        <f>+SUM(K813:Q817)</f>
        <v>184</v>
      </c>
      <c r="X813" s="490">
        <f>(+I813*J813*W813)/12</f>
        <v>337.33333333333331</v>
      </c>
      <c r="Y813" s="490">
        <f t="shared" ref="Y813:AF813" si="146">IF(Y$4=$D813,$X813*Y$5,0)</f>
        <v>0</v>
      </c>
      <c r="Z813" s="490">
        <f t="shared" si="146"/>
        <v>0</v>
      </c>
      <c r="AA813" s="490">
        <f t="shared" si="146"/>
        <v>351.8386666666666</v>
      </c>
      <c r="AB813" s="490">
        <f t="shared" si="146"/>
        <v>0</v>
      </c>
      <c r="AC813" s="490">
        <f t="shared" si="146"/>
        <v>0</v>
      </c>
      <c r="AD813" s="490">
        <f t="shared" si="146"/>
        <v>0</v>
      </c>
      <c r="AE813" s="490">
        <f t="shared" si="146"/>
        <v>0</v>
      </c>
      <c r="AF813" s="490">
        <f t="shared" si="146"/>
        <v>0</v>
      </c>
      <c r="AG813" s="490"/>
      <c r="AH813" s="193"/>
    </row>
    <row r="814" spans="1:34" x14ac:dyDescent="0.25">
      <c r="A814" s="193"/>
      <c r="B814" s="491"/>
      <c r="C814" s="491"/>
      <c r="D814" s="491"/>
      <c r="E814" s="491"/>
      <c r="F814" s="495"/>
      <c r="G814" s="230"/>
      <c r="H814" s="491"/>
      <c r="I814" s="491"/>
      <c r="J814" s="491"/>
      <c r="K814" s="491"/>
      <c r="L814" s="491"/>
      <c r="M814" s="491"/>
      <c r="N814" s="491"/>
      <c r="O814" s="491"/>
      <c r="P814" s="491"/>
      <c r="Q814" s="491"/>
      <c r="R814" s="213"/>
      <c r="S814" s="215"/>
      <c r="T814" s="216"/>
      <c r="U814" s="214"/>
      <c r="V814" s="491"/>
      <c r="W814" s="491"/>
      <c r="X814" s="491"/>
      <c r="Y814" s="491"/>
      <c r="Z814" s="491"/>
      <c r="AA814" s="491"/>
      <c r="AB814" s="491"/>
      <c r="AC814" s="491"/>
      <c r="AD814" s="491"/>
      <c r="AE814" s="491"/>
      <c r="AF814" s="491"/>
      <c r="AG814" s="491"/>
      <c r="AH814" s="193"/>
    </row>
    <row r="815" spans="1:34" x14ac:dyDescent="0.25">
      <c r="A815" s="193"/>
      <c r="B815" s="491"/>
      <c r="C815" s="491"/>
      <c r="D815" s="491"/>
      <c r="E815" s="491"/>
      <c r="F815" s="495"/>
      <c r="G815" s="230"/>
      <c r="H815" s="491"/>
      <c r="I815" s="491"/>
      <c r="J815" s="491"/>
      <c r="K815" s="491"/>
      <c r="L815" s="491"/>
      <c r="M815" s="491"/>
      <c r="N815" s="491"/>
      <c r="O815" s="491"/>
      <c r="P815" s="491"/>
      <c r="Q815" s="491"/>
      <c r="R815" s="225">
        <f>K813/12</f>
        <v>0.5</v>
      </c>
      <c r="S815" s="218"/>
      <c r="T815" s="218"/>
      <c r="U815" s="219"/>
      <c r="V815" s="491"/>
      <c r="W815" s="491"/>
      <c r="X815" s="491"/>
      <c r="Y815" s="491"/>
      <c r="Z815" s="491"/>
      <c r="AA815" s="491"/>
      <c r="AB815" s="491"/>
      <c r="AC815" s="491"/>
      <c r="AD815" s="491"/>
      <c r="AE815" s="491"/>
      <c r="AF815" s="491"/>
      <c r="AG815" s="491"/>
      <c r="AH815" s="193"/>
    </row>
    <row r="816" spans="1:34" ht="15.75" thickBot="1" x14ac:dyDescent="0.3">
      <c r="A816" s="193"/>
      <c r="B816" s="491"/>
      <c r="C816" s="491"/>
      <c r="D816" s="491"/>
      <c r="E816" s="491"/>
      <c r="F816" s="495"/>
      <c r="G816" s="230"/>
      <c r="H816" s="491"/>
      <c r="I816" s="491"/>
      <c r="J816" s="491"/>
      <c r="K816" s="491"/>
      <c r="L816" s="491"/>
      <c r="M816" s="491"/>
      <c r="N816" s="491"/>
      <c r="O816" s="491"/>
      <c r="P816" s="491"/>
      <c r="Q816" s="491"/>
      <c r="R816" s="226"/>
      <c r="S816" s="220"/>
      <c r="T816" s="220"/>
      <c r="U816" s="214"/>
      <c r="V816" s="491"/>
      <c r="W816" s="491"/>
      <c r="X816" s="491"/>
      <c r="Y816" s="491"/>
      <c r="Z816" s="491"/>
      <c r="AA816" s="491"/>
      <c r="AB816" s="491"/>
      <c r="AC816" s="491"/>
      <c r="AD816" s="491"/>
      <c r="AE816" s="491"/>
      <c r="AF816" s="491"/>
      <c r="AG816" s="491"/>
      <c r="AH816" s="193"/>
    </row>
    <row r="817" spans="1:34" x14ac:dyDescent="0.25">
      <c r="A817" s="193"/>
      <c r="B817" s="492"/>
      <c r="C817" s="492"/>
      <c r="D817" s="491"/>
      <c r="E817" s="491"/>
      <c r="F817" s="496"/>
      <c r="G817" s="231"/>
      <c r="H817" s="492"/>
      <c r="I817" s="492"/>
      <c r="J817" s="492"/>
      <c r="K817" s="492"/>
      <c r="L817" s="492"/>
      <c r="M817" s="492"/>
      <c r="N817" s="492"/>
      <c r="O817" s="492"/>
      <c r="P817" s="492"/>
      <c r="Q817" s="492"/>
      <c r="R817" s="221"/>
      <c r="S817" s="493">
        <f>+SUM(L813:M817)/12</f>
        <v>14.833333333333334</v>
      </c>
      <c r="T817" s="493"/>
      <c r="U817" s="222"/>
      <c r="V817" s="492"/>
      <c r="W817" s="492"/>
      <c r="X817" s="492"/>
      <c r="Y817" s="492"/>
      <c r="Z817" s="492"/>
      <c r="AA817" s="492"/>
      <c r="AB817" s="492"/>
      <c r="AC817" s="492"/>
      <c r="AD817" s="492"/>
      <c r="AE817" s="492"/>
      <c r="AF817" s="492"/>
      <c r="AG817" s="492"/>
      <c r="AH817" s="193"/>
    </row>
    <row r="818" spans="1:34" x14ac:dyDescent="0.25">
      <c r="A818" s="193"/>
      <c r="B818" s="490"/>
      <c r="C818" s="490" t="s">
        <v>286</v>
      </c>
      <c r="D818" s="490">
        <v>5</v>
      </c>
      <c r="E818" s="490">
        <v>0.625</v>
      </c>
      <c r="F818" s="494">
        <v>16</v>
      </c>
      <c r="G818" s="229"/>
      <c r="H818" s="490"/>
      <c r="I818" s="490">
        <f>ROUNDUP(M813/F818,0)</f>
        <v>9</v>
      </c>
      <c r="J818" s="490">
        <v>1</v>
      </c>
      <c r="K818" s="490"/>
      <c r="L818" s="490">
        <f>G801-2-2</f>
        <v>343</v>
      </c>
      <c r="M818" s="490"/>
      <c r="N818" s="490"/>
      <c r="O818" s="490"/>
      <c r="P818" s="490"/>
      <c r="Q818" s="490"/>
      <c r="R818" s="213"/>
      <c r="S818" s="498"/>
      <c r="T818" s="498"/>
      <c r="U818" s="214"/>
      <c r="V818" s="490">
        <f>SUM(R818:U822)</f>
        <v>28.583333333333332</v>
      </c>
      <c r="W818" s="490">
        <f>+SUM(K818:Q822)</f>
        <v>343</v>
      </c>
      <c r="X818" s="490">
        <f>(+I818*J818*W818)/12</f>
        <v>257.25</v>
      </c>
      <c r="Y818" s="490">
        <f t="shared" ref="Y818:AF818" si="147">IF(Y$4=$D818,$X818*Y$5,0)</f>
        <v>0</v>
      </c>
      <c r="Z818" s="490">
        <f t="shared" si="147"/>
        <v>0</v>
      </c>
      <c r="AA818" s="490">
        <f t="shared" si="147"/>
        <v>268.31174999999996</v>
      </c>
      <c r="AB818" s="490">
        <f t="shared" si="147"/>
        <v>0</v>
      </c>
      <c r="AC818" s="490">
        <f t="shared" si="147"/>
        <v>0</v>
      </c>
      <c r="AD818" s="490">
        <f t="shared" si="147"/>
        <v>0</v>
      </c>
      <c r="AE818" s="490">
        <f t="shared" si="147"/>
        <v>0</v>
      </c>
      <c r="AF818" s="490">
        <f t="shared" si="147"/>
        <v>0</v>
      </c>
      <c r="AG818" s="490"/>
      <c r="AH818" s="193"/>
    </row>
    <row r="819" spans="1:34" x14ac:dyDescent="0.25">
      <c r="A819" s="193"/>
      <c r="B819" s="491"/>
      <c r="C819" s="491"/>
      <c r="D819" s="491"/>
      <c r="E819" s="491"/>
      <c r="F819" s="495"/>
      <c r="G819" s="230"/>
      <c r="H819" s="491"/>
      <c r="I819" s="491"/>
      <c r="J819" s="491"/>
      <c r="K819" s="491"/>
      <c r="L819" s="491"/>
      <c r="M819" s="491"/>
      <c r="N819" s="491"/>
      <c r="O819" s="491"/>
      <c r="P819" s="491"/>
      <c r="Q819" s="491"/>
      <c r="R819" s="213"/>
      <c r="S819" s="215"/>
      <c r="T819" s="216"/>
      <c r="U819" s="214"/>
      <c r="V819" s="491"/>
      <c r="W819" s="491"/>
      <c r="X819" s="491"/>
      <c r="Y819" s="491"/>
      <c r="Z819" s="491"/>
      <c r="AA819" s="491"/>
      <c r="AB819" s="491"/>
      <c r="AC819" s="491"/>
      <c r="AD819" s="491"/>
      <c r="AE819" s="491"/>
      <c r="AF819" s="491"/>
      <c r="AG819" s="491"/>
      <c r="AH819" s="193"/>
    </row>
    <row r="820" spans="1:34" x14ac:dyDescent="0.25">
      <c r="A820" s="193"/>
      <c r="B820" s="491"/>
      <c r="C820" s="491"/>
      <c r="D820" s="491"/>
      <c r="E820" s="491"/>
      <c r="F820" s="495"/>
      <c r="G820" s="230"/>
      <c r="H820" s="491"/>
      <c r="I820" s="491"/>
      <c r="J820" s="491"/>
      <c r="K820" s="491"/>
      <c r="L820" s="491"/>
      <c r="M820" s="491"/>
      <c r="N820" s="491"/>
      <c r="O820" s="491"/>
      <c r="P820" s="491"/>
      <c r="Q820" s="497"/>
      <c r="R820" s="217"/>
      <c r="S820" s="218"/>
      <c r="T820" s="218"/>
      <c r="U820" s="219"/>
      <c r="V820" s="491"/>
      <c r="W820" s="491"/>
      <c r="X820" s="491"/>
      <c r="Y820" s="491"/>
      <c r="Z820" s="491"/>
      <c r="AA820" s="491"/>
      <c r="AB820" s="491"/>
      <c r="AC820" s="491"/>
      <c r="AD820" s="491"/>
      <c r="AE820" s="491"/>
      <c r="AF820" s="491"/>
      <c r="AG820" s="491"/>
      <c r="AH820" s="193"/>
    </row>
    <row r="821" spans="1:34" ht="15.75" thickBot="1" x14ac:dyDescent="0.3">
      <c r="A821" s="193"/>
      <c r="B821" s="491"/>
      <c r="C821" s="491"/>
      <c r="D821" s="491"/>
      <c r="E821" s="491"/>
      <c r="F821" s="495"/>
      <c r="G821" s="230"/>
      <c r="H821" s="491"/>
      <c r="I821" s="491"/>
      <c r="J821" s="491"/>
      <c r="K821" s="491"/>
      <c r="L821" s="491"/>
      <c r="M821" s="491"/>
      <c r="N821" s="491"/>
      <c r="O821" s="491"/>
      <c r="P821" s="491"/>
      <c r="Q821" s="497"/>
      <c r="R821" s="213"/>
      <c r="S821" s="220"/>
      <c r="T821" s="220"/>
      <c r="U821" s="214"/>
      <c r="V821" s="491"/>
      <c r="W821" s="491"/>
      <c r="X821" s="491"/>
      <c r="Y821" s="491"/>
      <c r="Z821" s="491"/>
      <c r="AA821" s="491"/>
      <c r="AB821" s="491"/>
      <c r="AC821" s="491"/>
      <c r="AD821" s="491"/>
      <c r="AE821" s="491"/>
      <c r="AF821" s="491"/>
      <c r="AG821" s="491"/>
      <c r="AH821" s="193"/>
    </row>
    <row r="822" spans="1:34" x14ac:dyDescent="0.25">
      <c r="A822" s="193"/>
      <c r="B822" s="492"/>
      <c r="C822" s="492"/>
      <c r="D822" s="492"/>
      <c r="E822" s="492"/>
      <c r="F822" s="496"/>
      <c r="G822" s="231"/>
      <c r="H822" s="492"/>
      <c r="I822" s="492"/>
      <c r="J822" s="492"/>
      <c r="K822" s="492"/>
      <c r="L822" s="492"/>
      <c r="M822" s="492"/>
      <c r="N822" s="492"/>
      <c r="O822" s="492"/>
      <c r="P822" s="492"/>
      <c r="Q822" s="492"/>
      <c r="R822" s="221"/>
      <c r="S822" s="493">
        <f>L818/12</f>
        <v>28.583333333333332</v>
      </c>
      <c r="T822" s="493"/>
      <c r="U822" s="222"/>
      <c r="V822" s="492"/>
      <c r="W822" s="492"/>
      <c r="X822" s="492"/>
      <c r="Y822" s="492"/>
      <c r="Z822" s="492"/>
      <c r="AA822" s="492"/>
      <c r="AB822" s="492"/>
      <c r="AC822" s="492"/>
      <c r="AD822" s="492"/>
      <c r="AE822" s="492"/>
      <c r="AF822" s="492"/>
      <c r="AG822" s="492"/>
      <c r="AH822" s="193"/>
    </row>
    <row r="823" spans="1:34" ht="15.75" thickBot="1" x14ac:dyDescent="0.3">
      <c r="A823" s="195"/>
      <c r="B823" s="200" t="s">
        <v>274</v>
      </c>
      <c r="C823" s="199" t="s">
        <v>379</v>
      </c>
      <c r="D823" s="197">
        <v>60</v>
      </c>
      <c r="E823" s="201">
        <v>8</v>
      </c>
      <c r="F823" s="202"/>
      <c r="G823" s="202">
        <f>(15*12)+8</f>
        <v>188</v>
      </c>
      <c r="H823" s="202">
        <v>16</v>
      </c>
      <c r="I823" s="202">
        <v>12</v>
      </c>
      <c r="J823" s="202">
        <v>12</v>
      </c>
      <c r="K823" s="199"/>
      <c r="L823" s="199"/>
      <c r="M823" s="199"/>
      <c r="N823" s="199"/>
      <c r="O823" s="199"/>
      <c r="P823" s="199"/>
      <c r="Q823" s="198"/>
      <c r="R823" s="196"/>
      <c r="S823" s="196"/>
      <c r="T823" s="196"/>
      <c r="U823" s="196"/>
      <c r="V823" s="203"/>
      <c r="W823" s="202"/>
      <c r="X823" s="202"/>
      <c r="Y823" s="199"/>
      <c r="Z823" s="199"/>
      <c r="AA823" s="199"/>
      <c r="AB823" s="199"/>
      <c r="AC823" s="199"/>
      <c r="AD823" s="199"/>
      <c r="AE823" s="199"/>
      <c r="AF823" s="199"/>
      <c r="AG823" s="199"/>
      <c r="AH823" s="195"/>
    </row>
    <row r="824" spans="1:34" ht="15.75" thickBot="1" x14ac:dyDescent="0.3">
      <c r="A824" s="193"/>
      <c r="B824" s="204"/>
      <c r="C824" s="205"/>
      <c r="D824" s="194"/>
      <c r="E824" s="206"/>
      <c r="F824" s="205"/>
      <c r="G824" s="205"/>
      <c r="H824" s="207">
        <v>3</v>
      </c>
      <c r="I824" s="207">
        <v>2</v>
      </c>
      <c r="J824" s="205"/>
      <c r="K824" s="205"/>
      <c r="L824" s="205"/>
      <c r="M824" s="205"/>
      <c r="N824" s="205"/>
      <c r="O824" s="205"/>
      <c r="P824" s="205"/>
      <c r="Q824" s="208"/>
      <c r="R824" s="209"/>
      <c r="S824" s="210"/>
      <c r="T824" s="210"/>
      <c r="U824" s="211"/>
      <c r="V824" s="212"/>
      <c r="W824" s="204"/>
      <c r="X824" s="204"/>
      <c r="Y824" s="205"/>
      <c r="Z824" s="205"/>
      <c r="AA824" s="205"/>
      <c r="AB824" s="205"/>
      <c r="AC824" s="205"/>
      <c r="AD824" s="205"/>
      <c r="AE824" s="205"/>
      <c r="AF824" s="205"/>
      <c r="AG824" s="205"/>
      <c r="AH824" s="193"/>
    </row>
    <row r="825" spans="1:34" x14ac:dyDescent="0.25">
      <c r="A825" s="193"/>
      <c r="B825" s="490"/>
      <c r="C825" s="499" t="s">
        <v>265</v>
      </c>
      <c r="D825" s="490">
        <v>5</v>
      </c>
      <c r="E825" s="490">
        <v>0.625</v>
      </c>
      <c r="F825" s="490"/>
      <c r="G825" s="490">
        <f>G823</f>
        <v>188</v>
      </c>
      <c r="H825" s="490"/>
      <c r="I825" s="490">
        <v>2</v>
      </c>
      <c r="J825" s="490">
        <v>1</v>
      </c>
      <c r="K825" s="490"/>
      <c r="L825" s="490">
        <f>G823-2-2</f>
        <v>184</v>
      </c>
      <c r="M825" s="490"/>
      <c r="N825" s="490"/>
      <c r="O825" s="490"/>
      <c r="P825" s="490"/>
      <c r="Q825" s="490"/>
      <c r="R825" s="213"/>
      <c r="S825" s="502"/>
      <c r="T825" s="502"/>
      <c r="U825" s="214"/>
      <c r="V825" s="490">
        <f>SUM(R825:U829)</f>
        <v>15.333333333333334</v>
      </c>
      <c r="W825" s="490">
        <f>+SUM(K825:Q829)</f>
        <v>184</v>
      </c>
      <c r="X825" s="490">
        <f>(+I825*J825*W825)/12</f>
        <v>30.666666666666668</v>
      </c>
      <c r="Y825" s="490">
        <f>IF(Y$4=$D825,$X825*Y$5,0)</f>
        <v>0</v>
      </c>
      <c r="Z825" s="490">
        <f t="shared" ref="Z825:AF825" si="148">IF(Z$4=$D825,$X825*Z$5,0)</f>
        <v>0</v>
      </c>
      <c r="AA825" s="490">
        <f t="shared" si="148"/>
        <v>31.985333333333333</v>
      </c>
      <c r="AB825" s="490">
        <f t="shared" si="148"/>
        <v>0</v>
      </c>
      <c r="AC825" s="490">
        <f t="shared" si="148"/>
        <v>0</v>
      </c>
      <c r="AD825" s="490">
        <f t="shared" si="148"/>
        <v>0</v>
      </c>
      <c r="AE825" s="490">
        <f t="shared" si="148"/>
        <v>0</v>
      </c>
      <c r="AF825" s="490">
        <f t="shared" si="148"/>
        <v>0</v>
      </c>
      <c r="AG825" s="490"/>
      <c r="AH825" s="193"/>
    </row>
    <row r="826" spans="1:34" x14ac:dyDescent="0.25">
      <c r="A826" s="193"/>
      <c r="B826" s="491"/>
      <c r="C826" s="500"/>
      <c r="D826" s="491"/>
      <c r="E826" s="491"/>
      <c r="F826" s="491"/>
      <c r="G826" s="491"/>
      <c r="H826" s="491"/>
      <c r="I826" s="491"/>
      <c r="J826" s="491"/>
      <c r="K826" s="491"/>
      <c r="L826" s="491"/>
      <c r="M826" s="491"/>
      <c r="N826" s="491"/>
      <c r="O826" s="491"/>
      <c r="P826" s="491"/>
      <c r="Q826" s="491"/>
      <c r="R826" s="213"/>
      <c r="S826" s="215"/>
      <c r="T826" s="216"/>
      <c r="U826" s="214"/>
      <c r="V826" s="491"/>
      <c r="W826" s="491"/>
      <c r="X826" s="491"/>
      <c r="Y826" s="491"/>
      <c r="Z826" s="491"/>
      <c r="AA826" s="491"/>
      <c r="AB826" s="491"/>
      <c r="AC826" s="491"/>
      <c r="AD826" s="491"/>
      <c r="AE826" s="491"/>
      <c r="AF826" s="491"/>
      <c r="AG826" s="491"/>
      <c r="AH826" s="193"/>
    </row>
    <row r="827" spans="1:34" x14ac:dyDescent="0.25">
      <c r="A827" s="193"/>
      <c r="B827" s="491"/>
      <c r="C827" s="500"/>
      <c r="D827" s="491"/>
      <c r="E827" s="491"/>
      <c r="F827" s="491"/>
      <c r="G827" s="491"/>
      <c r="H827" s="491"/>
      <c r="I827" s="491"/>
      <c r="J827" s="491"/>
      <c r="K827" s="491"/>
      <c r="L827" s="491"/>
      <c r="M827" s="491"/>
      <c r="N827" s="491"/>
      <c r="O827" s="491"/>
      <c r="P827" s="491"/>
      <c r="Q827" s="491"/>
      <c r="R827" s="217"/>
      <c r="S827" s="218"/>
      <c r="T827" s="218"/>
      <c r="U827" s="219"/>
      <c r="V827" s="491"/>
      <c r="W827" s="491"/>
      <c r="X827" s="491"/>
      <c r="Y827" s="491"/>
      <c r="Z827" s="491"/>
      <c r="AA827" s="491"/>
      <c r="AB827" s="491"/>
      <c r="AC827" s="491"/>
      <c r="AD827" s="491"/>
      <c r="AE827" s="491"/>
      <c r="AF827" s="491"/>
      <c r="AG827" s="491"/>
      <c r="AH827" s="193"/>
    </row>
    <row r="828" spans="1:34" ht="15.75" thickBot="1" x14ac:dyDescent="0.3">
      <c r="A828" s="193"/>
      <c r="B828" s="491"/>
      <c r="C828" s="500"/>
      <c r="D828" s="491"/>
      <c r="E828" s="491"/>
      <c r="F828" s="491"/>
      <c r="G828" s="491"/>
      <c r="H828" s="491"/>
      <c r="I828" s="491"/>
      <c r="J828" s="491"/>
      <c r="K828" s="491"/>
      <c r="L828" s="491"/>
      <c r="M828" s="491"/>
      <c r="N828" s="491"/>
      <c r="O828" s="491"/>
      <c r="P828" s="491"/>
      <c r="Q828" s="491"/>
      <c r="R828" s="213"/>
      <c r="S828" s="220"/>
      <c r="T828" s="220"/>
      <c r="U828" s="214"/>
      <c r="V828" s="491"/>
      <c r="W828" s="491"/>
      <c r="X828" s="491"/>
      <c r="Y828" s="491"/>
      <c r="Z828" s="491"/>
      <c r="AA828" s="491"/>
      <c r="AB828" s="491"/>
      <c r="AC828" s="491"/>
      <c r="AD828" s="491"/>
      <c r="AE828" s="491"/>
      <c r="AF828" s="491"/>
      <c r="AG828" s="491"/>
      <c r="AH828" s="193"/>
    </row>
    <row r="829" spans="1:34" x14ac:dyDescent="0.25">
      <c r="A829" s="193"/>
      <c r="B829" s="492"/>
      <c r="C829" s="501"/>
      <c r="D829" s="492"/>
      <c r="E829" s="492"/>
      <c r="F829" s="492"/>
      <c r="G829" s="492"/>
      <c r="H829" s="492"/>
      <c r="I829" s="492"/>
      <c r="J829" s="492"/>
      <c r="K829" s="492"/>
      <c r="L829" s="492"/>
      <c r="M829" s="492"/>
      <c r="N829" s="492"/>
      <c r="O829" s="492"/>
      <c r="P829" s="492"/>
      <c r="Q829" s="492"/>
      <c r="R829" s="221"/>
      <c r="S829" s="493">
        <f>L825/12</f>
        <v>15.333333333333334</v>
      </c>
      <c r="T829" s="493"/>
      <c r="U829" s="222"/>
      <c r="V829" s="492"/>
      <c r="W829" s="492"/>
      <c r="X829" s="492"/>
      <c r="Y829" s="492"/>
      <c r="Z829" s="492"/>
      <c r="AA829" s="492"/>
      <c r="AB829" s="492"/>
      <c r="AC829" s="492"/>
      <c r="AD829" s="492"/>
      <c r="AE829" s="492"/>
      <c r="AF829" s="492"/>
      <c r="AG829" s="492"/>
      <c r="AH829" s="193"/>
    </row>
    <row r="830" spans="1:34" x14ac:dyDescent="0.25">
      <c r="A830" s="193"/>
      <c r="B830" s="490"/>
      <c r="C830" s="499" t="s">
        <v>271</v>
      </c>
      <c r="D830" s="490">
        <v>5</v>
      </c>
      <c r="E830" s="490">
        <v>0.625</v>
      </c>
      <c r="F830" s="490"/>
      <c r="G830" s="490"/>
      <c r="H830" s="490"/>
      <c r="I830" s="490">
        <v>2</v>
      </c>
      <c r="J830" s="490">
        <v>2</v>
      </c>
      <c r="K830" s="490">
        <v>30</v>
      </c>
      <c r="L830" s="490">
        <v>30</v>
      </c>
      <c r="M830" s="490"/>
      <c r="N830" s="490"/>
      <c r="O830" s="490"/>
      <c r="P830" s="490"/>
      <c r="Q830" s="490"/>
      <c r="R830" s="213"/>
      <c r="S830" s="498"/>
      <c r="T830" s="498"/>
      <c r="U830" s="214"/>
      <c r="V830" s="490">
        <f>SUM(R830:U834)</f>
        <v>5</v>
      </c>
      <c r="W830" s="490">
        <f>+SUM(K830:Q834)</f>
        <v>60</v>
      </c>
      <c r="X830" s="490">
        <f>(+I830*J830*W830)/12</f>
        <v>20</v>
      </c>
      <c r="Y830" s="490">
        <f t="shared" ref="Y830:AF830" si="149">IF(Y$4=$D830,$X830*Y$5,0)</f>
        <v>0</v>
      </c>
      <c r="Z830" s="490">
        <f t="shared" si="149"/>
        <v>0</v>
      </c>
      <c r="AA830" s="490">
        <f t="shared" si="149"/>
        <v>20.86</v>
      </c>
      <c r="AB830" s="490">
        <f t="shared" si="149"/>
        <v>0</v>
      </c>
      <c r="AC830" s="490">
        <f t="shared" si="149"/>
        <v>0</v>
      </c>
      <c r="AD830" s="490">
        <f t="shared" si="149"/>
        <v>0</v>
      </c>
      <c r="AE830" s="490">
        <f t="shared" si="149"/>
        <v>0</v>
      </c>
      <c r="AF830" s="490">
        <f t="shared" si="149"/>
        <v>0</v>
      </c>
      <c r="AG830" s="490"/>
      <c r="AH830" s="193"/>
    </row>
    <row r="831" spans="1:34" x14ac:dyDescent="0.25">
      <c r="A831" s="193"/>
      <c r="B831" s="491"/>
      <c r="C831" s="500"/>
      <c r="D831" s="491"/>
      <c r="E831" s="491"/>
      <c r="F831" s="491"/>
      <c r="G831" s="491"/>
      <c r="H831" s="491"/>
      <c r="I831" s="491"/>
      <c r="J831" s="491"/>
      <c r="K831" s="491"/>
      <c r="L831" s="491"/>
      <c r="M831" s="491"/>
      <c r="N831" s="491"/>
      <c r="O831" s="491"/>
      <c r="P831" s="491"/>
      <c r="Q831" s="491"/>
      <c r="R831" s="213"/>
      <c r="S831" s="215"/>
      <c r="T831" s="216"/>
      <c r="U831" s="214"/>
      <c r="V831" s="491"/>
      <c r="W831" s="491"/>
      <c r="X831" s="491"/>
      <c r="Y831" s="491"/>
      <c r="Z831" s="491"/>
      <c r="AA831" s="491"/>
      <c r="AB831" s="491"/>
      <c r="AC831" s="491"/>
      <c r="AD831" s="491"/>
      <c r="AE831" s="491"/>
      <c r="AF831" s="491"/>
      <c r="AG831" s="491"/>
      <c r="AH831" s="193"/>
    </row>
    <row r="832" spans="1:34" x14ac:dyDescent="0.25">
      <c r="A832" s="193"/>
      <c r="B832" s="491"/>
      <c r="C832" s="500"/>
      <c r="D832" s="491"/>
      <c r="E832" s="491"/>
      <c r="F832" s="491"/>
      <c r="G832" s="491"/>
      <c r="H832" s="491"/>
      <c r="I832" s="491"/>
      <c r="J832" s="491"/>
      <c r="K832" s="491"/>
      <c r="L832" s="491"/>
      <c r="M832" s="491"/>
      <c r="N832" s="491"/>
      <c r="O832" s="491"/>
      <c r="P832" s="491"/>
      <c r="Q832" s="491"/>
      <c r="R832" s="217">
        <f>K830/12</f>
        <v>2.5</v>
      </c>
      <c r="S832" s="223"/>
      <c r="T832" s="195"/>
      <c r="U832" s="219"/>
      <c r="V832" s="491"/>
      <c r="W832" s="491"/>
      <c r="X832" s="491"/>
      <c r="Y832" s="491"/>
      <c r="Z832" s="491"/>
      <c r="AA832" s="491"/>
      <c r="AB832" s="491"/>
      <c r="AC832" s="491"/>
      <c r="AD832" s="491"/>
      <c r="AE832" s="491"/>
      <c r="AF832" s="491"/>
      <c r="AG832" s="491"/>
      <c r="AH832" s="193"/>
    </row>
    <row r="833" spans="1:34" ht="15.75" thickBot="1" x14ac:dyDescent="0.3">
      <c r="A833" s="193"/>
      <c r="B833" s="491"/>
      <c r="C833" s="500"/>
      <c r="D833" s="491"/>
      <c r="E833" s="491"/>
      <c r="F833" s="491"/>
      <c r="G833" s="491"/>
      <c r="H833" s="491"/>
      <c r="I833" s="491"/>
      <c r="J833" s="491"/>
      <c r="K833" s="491"/>
      <c r="L833" s="491"/>
      <c r="M833" s="491"/>
      <c r="N833" s="491"/>
      <c r="O833" s="491"/>
      <c r="P833" s="491"/>
      <c r="Q833" s="491"/>
      <c r="R833" s="213"/>
      <c r="S833" s="224"/>
      <c r="T833" s="220"/>
      <c r="U833" s="214"/>
      <c r="V833" s="491"/>
      <c r="W833" s="491"/>
      <c r="X833" s="491"/>
      <c r="Y833" s="491"/>
      <c r="Z833" s="491"/>
      <c r="AA833" s="491"/>
      <c r="AB833" s="491"/>
      <c r="AC833" s="491"/>
      <c r="AD833" s="491"/>
      <c r="AE833" s="491"/>
      <c r="AF833" s="491"/>
      <c r="AG833" s="491"/>
      <c r="AH833" s="193"/>
    </row>
    <row r="834" spans="1:34" x14ac:dyDescent="0.25">
      <c r="A834" s="193"/>
      <c r="B834" s="492"/>
      <c r="C834" s="501"/>
      <c r="D834" s="492"/>
      <c r="E834" s="492"/>
      <c r="F834" s="492"/>
      <c r="G834" s="492"/>
      <c r="H834" s="492"/>
      <c r="I834" s="492"/>
      <c r="J834" s="492"/>
      <c r="K834" s="492"/>
      <c r="L834" s="492"/>
      <c r="M834" s="492"/>
      <c r="N834" s="492"/>
      <c r="O834" s="492"/>
      <c r="P834" s="492"/>
      <c r="Q834" s="492"/>
      <c r="R834" s="221"/>
      <c r="S834" s="493">
        <f>L830/12</f>
        <v>2.5</v>
      </c>
      <c r="T834" s="493"/>
      <c r="U834" s="222"/>
      <c r="V834" s="492"/>
      <c r="W834" s="492"/>
      <c r="X834" s="492"/>
      <c r="Y834" s="492"/>
      <c r="Z834" s="492"/>
      <c r="AA834" s="492"/>
      <c r="AB834" s="492"/>
      <c r="AC834" s="492"/>
      <c r="AD834" s="492"/>
      <c r="AE834" s="492"/>
      <c r="AF834" s="492"/>
      <c r="AG834" s="492"/>
      <c r="AH834" s="193"/>
    </row>
    <row r="835" spans="1:34" x14ac:dyDescent="0.25">
      <c r="A835" s="193"/>
      <c r="B835" s="490"/>
      <c r="C835" s="490" t="s">
        <v>277</v>
      </c>
      <c r="D835" s="490">
        <v>5</v>
      </c>
      <c r="E835" s="490">
        <v>0.625</v>
      </c>
      <c r="F835" s="494">
        <v>16</v>
      </c>
      <c r="G835" s="229"/>
      <c r="H835" s="490"/>
      <c r="I835" s="490">
        <f>ROUNDUP(G825/F835,0)</f>
        <v>12</v>
      </c>
      <c r="J835" s="490">
        <v>1</v>
      </c>
      <c r="K835" s="490">
        <v>6</v>
      </c>
      <c r="L835" s="490">
        <f>4*12-2</f>
        <v>46</v>
      </c>
      <c r="M835" s="490">
        <f>11*12</f>
        <v>132</v>
      </c>
      <c r="N835" s="490"/>
      <c r="O835" s="490"/>
      <c r="P835" s="490"/>
      <c r="Q835" s="490"/>
      <c r="R835" s="213"/>
      <c r="S835" s="498"/>
      <c r="T835" s="498"/>
      <c r="U835" s="214"/>
      <c r="V835" s="490">
        <f>SUM(R835:U839)</f>
        <v>15.333333333333334</v>
      </c>
      <c r="W835" s="490">
        <f>+SUM(K835:Q839)</f>
        <v>184</v>
      </c>
      <c r="X835" s="490">
        <f>(+I835*J835*W835)/12</f>
        <v>184</v>
      </c>
      <c r="Y835" s="490">
        <f t="shared" ref="Y835:AF835" si="150">IF(Y$4=$D835,$X835*Y$5,0)</f>
        <v>0</v>
      </c>
      <c r="Z835" s="490">
        <f t="shared" si="150"/>
        <v>0</v>
      </c>
      <c r="AA835" s="490">
        <f t="shared" si="150"/>
        <v>191.91199999999998</v>
      </c>
      <c r="AB835" s="490">
        <f t="shared" si="150"/>
        <v>0</v>
      </c>
      <c r="AC835" s="490">
        <f t="shared" si="150"/>
        <v>0</v>
      </c>
      <c r="AD835" s="490">
        <f t="shared" si="150"/>
        <v>0</v>
      </c>
      <c r="AE835" s="490">
        <f t="shared" si="150"/>
        <v>0</v>
      </c>
      <c r="AF835" s="490">
        <f t="shared" si="150"/>
        <v>0</v>
      </c>
      <c r="AG835" s="490"/>
      <c r="AH835" s="193"/>
    </row>
    <row r="836" spans="1:34" x14ac:dyDescent="0.25">
      <c r="A836" s="193"/>
      <c r="B836" s="491"/>
      <c r="C836" s="491"/>
      <c r="D836" s="491"/>
      <c r="E836" s="491"/>
      <c r="F836" s="495"/>
      <c r="G836" s="230"/>
      <c r="H836" s="491"/>
      <c r="I836" s="491"/>
      <c r="J836" s="491"/>
      <c r="K836" s="491"/>
      <c r="L836" s="491"/>
      <c r="M836" s="491"/>
      <c r="N836" s="491"/>
      <c r="O836" s="491"/>
      <c r="P836" s="491"/>
      <c r="Q836" s="491"/>
      <c r="R836" s="213"/>
      <c r="S836" s="215"/>
      <c r="T836" s="216"/>
      <c r="U836" s="214"/>
      <c r="V836" s="491"/>
      <c r="W836" s="491"/>
      <c r="X836" s="491"/>
      <c r="Y836" s="491"/>
      <c r="Z836" s="491"/>
      <c r="AA836" s="491"/>
      <c r="AB836" s="491"/>
      <c r="AC836" s="491"/>
      <c r="AD836" s="491"/>
      <c r="AE836" s="491"/>
      <c r="AF836" s="491"/>
      <c r="AG836" s="491"/>
      <c r="AH836" s="193"/>
    </row>
    <row r="837" spans="1:34" x14ac:dyDescent="0.25">
      <c r="A837" s="193"/>
      <c r="B837" s="491"/>
      <c r="C837" s="491"/>
      <c r="D837" s="491"/>
      <c r="E837" s="491"/>
      <c r="F837" s="495"/>
      <c r="G837" s="230"/>
      <c r="H837" s="491"/>
      <c r="I837" s="491"/>
      <c r="J837" s="491"/>
      <c r="K837" s="491"/>
      <c r="L837" s="491"/>
      <c r="M837" s="491"/>
      <c r="N837" s="491"/>
      <c r="O837" s="491"/>
      <c r="P837" s="491"/>
      <c r="Q837" s="491"/>
      <c r="R837" s="225">
        <f>K835/12</f>
        <v>0.5</v>
      </c>
      <c r="S837" s="218"/>
      <c r="T837" s="218"/>
      <c r="U837" s="219"/>
      <c r="V837" s="491"/>
      <c r="W837" s="491"/>
      <c r="X837" s="491"/>
      <c r="Y837" s="491"/>
      <c r="Z837" s="491"/>
      <c r="AA837" s="491"/>
      <c r="AB837" s="491"/>
      <c r="AC837" s="491"/>
      <c r="AD837" s="491"/>
      <c r="AE837" s="491"/>
      <c r="AF837" s="491"/>
      <c r="AG837" s="491"/>
      <c r="AH837" s="193"/>
    </row>
    <row r="838" spans="1:34" ht="15.75" thickBot="1" x14ac:dyDescent="0.3">
      <c r="A838" s="193"/>
      <c r="B838" s="491"/>
      <c r="C838" s="491"/>
      <c r="D838" s="491"/>
      <c r="E838" s="491"/>
      <c r="F838" s="495"/>
      <c r="G838" s="230"/>
      <c r="H838" s="491"/>
      <c r="I838" s="491"/>
      <c r="J838" s="491"/>
      <c r="K838" s="491"/>
      <c r="L838" s="491"/>
      <c r="M838" s="491"/>
      <c r="N838" s="491"/>
      <c r="O838" s="491"/>
      <c r="P838" s="491"/>
      <c r="Q838" s="491"/>
      <c r="R838" s="226"/>
      <c r="S838" s="220"/>
      <c r="T838" s="220"/>
      <c r="U838" s="214"/>
      <c r="V838" s="491"/>
      <c r="W838" s="491"/>
      <c r="X838" s="491"/>
      <c r="Y838" s="491"/>
      <c r="Z838" s="491"/>
      <c r="AA838" s="491"/>
      <c r="AB838" s="491"/>
      <c r="AC838" s="491"/>
      <c r="AD838" s="491"/>
      <c r="AE838" s="491"/>
      <c r="AF838" s="491"/>
      <c r="AG838" s="491"/>
      <c r="AH838" s="193"/>
    </row>
    <row r="839" spans="1:34" x14ac:dyDescent="0.25">
      <c r="A839" s="193"/>
      <c r="B839" s="492"/>
      <c r="C839" s="492"/>
      <c r="D839" s="491"/>
      <c r="E839" s="491"/>
      <c r="F839" s="496"/>
      <c r="G839" s="231"/>
      <c r="H839" s="492"/>
      <c r="I839" s="492"/>
      <c r="J839" s="492"/>
      <c r="K839" s="492"/>
      <c r="L839" s="492"/>
      <c r="M839" s="492"/>
      <c r="N839" s="492"/>
      <c r="O839" s="492"/>
      <c r="P839" s="492"/>
      <c r="Q839" s="492"/>
      <c r="R839" s="221"/>
      <c r="S839" s="493">
        <f>+SUM(L835:M839)/12</f>
        <v>14.833333333333334</v>
      </c>
      <c r="T839" s="493"/>
      <c r="U839" s="222"/>
      <c r="V839" s="492"/>
      <c r="W839" s="492"/>
      <c r="X839" s="492"/>
      <c r="Y839" s="492"/>
      <c r="Z839" s="492"/>
      <c r="AA839" s="492"/>
      <c r="AB839" s="492"/>
      <c r="AC839" s="492"/>
      <c r="AD839" s="492"/>
      <c r="AE839" s="492"/>
      <c r="AF839" s="492"/>
      <c r="AG839" s="492"/>
      <c r="AH839" s="193"/>
    </row>
    <row r="840" spans="1:34" x14ac:dyDescent="0.25">
      <c r="A840" s="193"/>
      <c r="B840" s="490"/>
      <c r="C840" s="490" t="s">
        <v>286</v>
      </c>
      <c r="D840" s="490">
        <v>5</v>
      </c>
      <c r="E840" s="490">
        <v>0.625</v>
      </c>
      <c r="F840" s="494">
        <v>16</v>
      </c>
      <c r="G840" s="229"/>
      <c r="H840" s="490"/>
      <c r="I840" s="490">
        <f>ROUNDUP(M835/F840,0)</f>
        <v>9</v>
      </c>
      <c r="J840" s="490">
        <v>1</v>
      </c>
      <c r="K840" s="490"/>
      <c r="L840" s="490">
        <f>G823-2-2</f>
        <v>184</v>
      </c>
      <c r="M840" s="490"/>
      <c r="N840" s="490"/>
      <c r="O840" s="490"/>
      <c r="P840" s="490"/>
      <c r="Q840" s="490"/>
      <c r="R840" s="213"/>
      <c r="S840" s="498"/>
      <c r="T840" s="498"/>
      <c r="U840" s="214"/>
      <c r="V840" s="490">
        <f>SUM(R840:U844)</f>
        <v>15.333333333333334</v>
      </c>
      <c r="W840" s="490">
        <f>+SUM(K840:Q844)</f>
        <v>184</v>
      </c>
      <c r="X840" s="490">
        <f>(+I840*J840*W840)/12</f>
        <v>138</v>
      </c>
      <c r="Y840" s="490">
        <f t="shared" ref="Y840:AF840" si="151">IF(Y$4=$D840,$X840*Y$5,0)</f>
        <v>0</v>
      </c>
      <c r="Z840" s="490">
        <f t="shared" si="151"/>
        <v>0</v>
      </c>
      <c r="AA840" s="490">
        <f t="shared" si="151"/>
        <v>143.934</v>
      </c>
      <c r="AB840" s="490">
        <f t="shared" si="151"/>
        <v>0</v>
      </c>
      <c r="AC840" s="490">
        <f t="shared" si="151"/>
        <v>0</v>
      </c>
      <c r="AD840" s="490">
        <f t="shared" si="151"/>
        <v>0</v>
      </c>
      <c r="AE840" s="490">
        <f t="shared" si="151"/>
        <v>0</v>
      </c>
      <c r="AF840" s="490">
        <f t="shared" si="151"/>
        <v>0</v>
      </c>
      <c r="AG840" s="490"/>
      <c r="AH840" s="193"/>
    </row>
    <row r="841" spans="1:34" x14ac:dyDescent="0.25">
      <c r="A841" s="193"/>
      <c r="B841" s="491"/>
      <c r="C841" s="491"/>
      <c r="D841" s="491"/>
      <c r="E841" s="491"/>
      <c r="F841" s="495"/>
      <c r="G841" s="230"/>
      <c r="H841" s="491"/>
      <c r="I841" s="491"/>
      <c r="J841" s="491"/>
      <c r="K841" s="491"/>
      <c r="L841" s="491"/>
      <c r="M841" s="491"/>
      <c r="N841" s="491"/>
      <c r="O841" s="491"/>
      <c r="P841" s="491"/>
      <c r="Q841" s="491"/>
      <c r="R841" s="213"/>
      <c r="S841" s="215"/>
      <c r="T841" s="216"/>
      <c r="U841" s="214"/>
      <c r="V841" s="491"/>
      <c r="W841" s="491"/>
      <c r="X841" s="491"/>
      <c r="Y841" s="491"/>
      <c r="Z841" s="491"/>
      <c r="AA841" s="491"/>
      <c r="AB841" s="491"/>
      <c r="AC841" s="491"/>
      <c r="AD841" s="491"/>
      <c r="AE841" s="491"/>
      <c r="AF841" s="491"/>
      <c r="AG841" s="491"/>
      <c r="AH841" s="193"/>
    </row>
    <row r="842" spans="1:34" x14ac:dyDescent="0.25">
      <c r="A842" s="193"/>
      <c r="B842" s="491"/>
      <c r="C842" s="491"/>
      <c r="D842" s="491"/>
      <c r="E842" s="491"/>
      <c r="F842" s="495"/>
      <c r="G842" s="230"/>
      <c r="H842" s="491"/>
      <c r="I842" s="491"/>
      <c r="J842" s="491"/>
      <c r="K842" s="491"/>
      <c r="L842" s="491"/>
      <c r="M842" s="491"/>
      <c r="N842" s="491"/>
      <c r="O842" s="491"/>
      <c r="P842" s="491"/>
      <c r="Q842" s="497"/>
      <c r="R842" s="217"/>
      <c r="S842" s="218"/>
      <c r="T842" s="218"/>
      <c r="U842" s="219"/>
      <c r="V842" s="491"/>
      <c r="W842" s="491"/>
      <c r="X842" s="491"/>
      <c r="Y842" s="491"/>
      <c r="Z842" s="491"/>
      <c r="AA842" s="491"/>
      <c r="AB842" s="491"/>
      <c r="AC842" s="491"/>
      <c r="AD842" s="491"/>
      <c r="AE842" s="491"/>
      <c r="AF842" s="491"/>
      <c r="AG842" s="491"/>
      <c r="AH842" s="193"/>
    </row>
    <row r="843" spans="1:34" ht="15.75" thickBot="1" x14ac:dyDescent="0.3">
      <c r="A843" s="193"/>
      <c r="B843" s="491"/>
      <c r="C843" s="491"/>
      <c r="D843" s="491"/>
      <c r="E843" s="491"/>
      <c r="F843" s="495"/>
      <c r="G843" s="230"/>
      <c r="H843" s="491"/>
      <c r="I843" s="491"/>
      <c r="J843" s="491"/>
      <c r="K843" s="491"/>
      <c r="L843" s="491"/>
      <c r="M843" s="491"/>
      <c r="N843" s="491"/>
      <c r="O843" s="491"/>
      <c r="P843" s="491"/>
      <c r="Q843" s="497"/>
      <c r="R843" s="213"/>
      <c r="S843" s="220"/>
      <c r="T843" s="220"/>
      <c r="U843" s="214"/>
      <c r="V843" s="491"/>
      <c r="W843" s="491"/>
      <c r="X843" s="491"/>
      <c r="Y843" s="491"/>
      <c r="Z843" s="491"/>
      <c r="AA843" s="491"/>
      <c r="AB843" s="491"/>
      <c r="AC843" s="491"/>
      <c r="AD843" s="491"/>
      <c r="AE843" s="491"/>
      <c r="AF843" s="491"/>
      <c r="AG843" s="491"/>
      <c r="AH843" s="193"/>
    </row>
    <row r="844" spans="1:34" x14ac:dyDescent="0.25">
      <c r="A844" s="193"/>
      <c r="B844" s="492"/>
      <c r="C844" s="492"/>
      <c r="D844" s="492"/>
      <c r="E844" s="492"/>
      <c r="F844" s="496"/>
      <c r="G844" s="231"/>
      <c r="H844" s="492"/>
      <c r="I844" s="492"/>
      <c r="J844" s="492"/>
      <c r="K844" s="492"/>
      <c r="L844" s="492"/>
      <c r="M844" s="492"/>
      <c r="N844" s="492"/>
      <c r="O844" s="492"/>
      <c r="P844" s="492"/>
      <c r="Q844" s="492"/>
      <c r="R844" s="221"/>
      <c r="S844" s="493">
        <f>L840/12</f>
        <v>15.333333333333334</v>
      </c>
      <c r="T844" s="493"/>
      <c r="U844" s="222"/>
      <c r="V844" s="492"/>
      <c r="W844" s="492"/>
      <c r="X844" s="492"/>
      <c r="Y844" s="492"/>
      <c r="Z844" s="492"/>
      <c r="AA844" s="492"/>
      <c r="AB844" s="492"/>
      <c r="AC844" s="492"/>
      <c r="AD844" s="492"/>
      <c r="AE844" s="492"/>
      <c r="AF844" s="492"/>
      <c r="AG844" s="492"/>
      <c r="AH844" s="193"/>
    </row>
    <row r="845" spans="1:34" ht="15.75" thickBot="1" x14ac:dyDescent="0.3">
      <c r="A845" s="195"/>
      <c r="B845" s="200" t="s">
        <v>275</v>
      </c>
      <c r="C845" s="199" t="s">
        <v>379</v>
      </c>
      <c r="D845" s="197">
        <v>60</v>
      </c>
      <c r="E845" s="201">
        <v>8</v>
      </c>
      <c r="F845" s="202"/>
      <c r="G845" s="202">
        <f>(9*12)+7</f>
        <v>115</v>
      </c>
      <c r="H845" s="202">
        <v>16</v>
      </c>
      <c r="I845" s="202">
        <v>12</v>
      </c>
      <c r="J845" s="202">
        <v>12</v>
      </c>
      <c r="K845" s="199"/>
      <c r="L845" s="199"/>
      <c r="M845" s="199"/>
      <c r="N845" s="199"/>
      <c r="O845" s="199"/>
      <c r="P845" s="199"/>
      <c r="Q845" s="198"/>
      <c r="R845" s="196"/>
      <c r="S845" s="196"/>
      <c r="T845" s="196"/>
      <c r="U845" s="196"/>
      <c r="V845" s="203"/>
      <c r="W845" s="202"/>
      <c r="X845" s="202"/>
      <c r="Y845" s="199"/>
      <c r="Z845" s="199"/>
      <c r="AA845" s="199"/>
      <c r="AB845" s="199"/>
      <c r="AC845" s="199"/>
      <c r="AD845" s="199"/>
      <c r="AE845" s="199"/>
      <c r="AF845" s="199"/>
      <c r="AG845" s="199"/>
      <c r="AH845" s="195"/>
    </row>
    <row r="846" spans="1:34" ht="15.75" thickBot="1" x14ac:dyDescent="0.3">
      <c r="A846" s="193"/>
      <c r="B846" s="204"/>
      <c r="C846" s="205"/>
      <c r="D846" s="194"/>
      <c r="E846" s="206"/>
      <c r="F846" s="205"/>
      <c r="G846" s="205"/>
      <c r="H846" s="207">
        <v>3</v>
      </c>
      <c r="I846" s="207">
        <v>2</v>
      </c>
      <c r="J846" s="205"/>
      <c r="K846" s="205"/>
      <c r="L846" s="205"/>
      <c r="M846" s="205"/>
      <c r="N846" s="205"/>
      <c r="O846" s="205"/>
      <c r="P846" s="205"/>
      <c r="Q846" s="208"/>
      <c r="R846" s="209"/>
      <c r="S846" s="210"/>
      <c r="T846" s="210"/>
      <c r="U846" s="211"/>
      <c r="V846" s="212"/>
      <c r="W846" s="204"/>
      <c r="X846" s="204"/>
      <c r="Y846" s="205"/>
      <c r="Z846" s="205"/>
      <c r="AA846" s="205"/>
      <c r="AB846" s="205"/>
      <c r="AC846" s="205"/>
      <c r="AD846" s="205"/>
      <c r="AE846" s="205"/>
      <c r="AF846" s="205"/>
      <c r="AG846" s="205"/>
      <c r="AH846" s="193"/>
    </row>
    <row r="847" spans="1:34" x14ac:dyDescent="0.25">
      <c r="A847" s="193"/>
      <c r="B847" s="490"/>
      <c r="C847" s="499" t="s">
        <v>265</v>
      </c>
      <c r="D847" s="490">
        <v>5</v>
      </c>
      <c r="E847" s="490">
        <v>0.625</v>
      </c>
      <c r="F847" s="490"/>
      <c r="G847" s="490">
        <f>G845</f>
        <v>115</v>
      </c>
      <c r="H847" s="490"/>
      <c r="I847" s="490">
        <v>2</v>
      </c>
      <c r="J847" s="490">
        <v>1</v>
      </c>
      <c r="K847" s="490"/>
      <c r="L847" s="490">
        <f>G845-2-2</f>
        <v>111</v>
      </c>
      <c r="M847" s="490"/>
      <c r="N847" s="490"/>
      <c r="O847" s="490"/>
      <c r="P847" s="490"/>
      <c r="Q847" s="490"/>
      <c r="R847" s="213"/>
      <c r="S847" s="502"/>
      <c r="T847" s="502"/>
      <c r="U847" s="214"/>
      <c r="V847" s="490">
        <f>SUM(R847:U851)</f>
        <v>9.25</v>
      </c>
      <c r="W847" s="490">
        <f>+SUM(K847:Q851)</f>
        <v>111</v>
      </c>
      <c r="X847" s="490">
        <f>(+I847*J847*W847)/12</f>
        <v>18.5</v>
      </c>
      <c r="Y847" s="490">
        <f>IF(Y$4=$D847,$X847*Y$5,0)</f>
        <v>0</v>
      </c>
      <c r="Z847" s="490">
        <f t="shared" ref="Z847:AF847" si="152">IF(Z$4=$D847,$X847*Z$5,0)</f>
        <v>0</v>
      </c>
      <c r="AA847" s="490">
        <f t="shared" si="152"/>
        <v>19.295499999999997</v>
      </c>
      <c r="AB847" s="490">
        <f t="shared" si="152"/>
        <v>0</v>
      </c>
      <c r="AC847" s="490">
        <f t="shared" si="152"/>
        <v>0</v>
      </c>
      <c r="AD847" s="490">
        <f t="shared" si="152"/>
        <v>0</v>
      </c>
      <c r="AE847" s="490">
        <f t="shared" si="152"/>
        <v>0</v>
      </c>
      <c r="AF847" s="490">
        <f t="shared" si="152"/>
        <v>0</v>
      </c>
      <c r="AG847" s="490"/>
      <c r="AH847" s="193"/>
    </row>
    <row r="848" spans="1:34" x14ac:dyDescent="0.25">
      <c r="A848" s="193"/>
      <c r="B848" s="491"/>
      <c r="C848" s="500"/>
      <c r="D848" s="491"/>
      <c r="E848" s="491"/>
      <c r="F848" s="491"/>
      <c r="G848" s="491"/>
      <c r="H848" s="491"/>
      <c r="I848" s="491"/>
      <c r="J848" s="491"/>
      <c r="K848" s="491"/>
      <c r="L848" s="491"/>
      <c r="M848" s="491"/>
      <c r="N848" s="491"/>
      <c r="O848" s="491"/>
      <c r="P848" s="491"/>
      <c r="Q848" s="491"/>
      <c r="R848" s="213"/>
      <c r="S848" s="215"/>
      <c r="T848" s="216"/>
      <c r="U848" s="214"/>
      <c r="V848" s="491"/>
      <c r="W848" s="491"/>
      <c r="X848" s="491"/>
      <c r="Y848" s="491"/>
      <c r="Z848" s="491"/>
      <c r="AA848" s="491"/>
      <c r="AB848" s="491"/>
      <c r="AC848" s="491"/>
      <c r="AD848" s="491"/>
      <c r="AE848" s="491"/>
      <c r="AF848" s="491"/>
      <c r="AG848" s="491"/>
      <c r="AH848" s="193"/>
    </row>
    <row r="849" spans="1:34" x14ac:dyDescent="0.25">
      <c r="A849" s="193"/>
      <c r="B849" s="491"/>
      <c r="C849" s="500"/>
      <c r="D849" s="491"/>
      <c r="E849" s="491"/>
      <c r="F849" s="491"/>
      <c r="G849" s="491"/>
      <c r="H849" s="491"/>
      <c r="I849" s="491"/>
      <c r="J849" s="491"/>
      <c r="K849" s="491"/>
      <c r="L849" s="491"/>
      <c r="M849" s="491"/>
      <c r="N849" s="491"/>
      <c r="O849" s="491"/>
      <c r="P849" s="491"/>
      <c r="Q849" s="491"/>
      <c r="R849" s="217"/>
      <c r="S849" s="218"/>
      <c r="T849" s="218"/>
      <c r="U849" s="219"/>
      <c r="V849" s="491"/>
      <c r="W849" s="491"/>
      <c r="X849" s="491"/>
      <c r="Y849" s="491"/>
      <c r="Z849" s="491"/>
      <c r="AA849" s="491"/>
      <c r="AB849" s="491"/>
      <c r="AC849" s="491"/>
      <c r="AD849" s="491"/>
      <c r="AE849" s="491"/>
      <c r="AF849" s="491"/>
      <c r="AG849" s="491"/>
      <c r="AH849" s="193"/>
    </row>
    <row r="850" spans="1:34" ht="15.75" thickBot="1" x14ac:dyDescent="0.3">
      <c r="A850" s="193"/>
      <c r="B850" s="491"/>
      <c r="C850" s="500"/>
      <c r="D850" s="491"/>
      <c r="E850" s="491"/>
      <c r="F850" s="491"/>
      <c r="G850" s="491"/>
      <c r="H850" s="491"/>
      <c r="I850" s="491"/>
      <c r="J850" s="491"/>
      <c r="K850" s="491"/>
      <c r="L850" s="491"/>
      <c r="M850" s="491"/>
      <c r="N850" s="491"/>
      <c r="O850" s="491"/>
      <c r="P850" s="491"/>
      <c r="Q850" s="491"/>
      <c r="R850" s="213"/>
      <c r="S850" s="220"/>
      <c r="T850" s="220"/>
      <c r="U850" s="214"/>
      <c r="V850" s="491"/>
      <c r="W850" s="491"/>
      <c r="X850" s="491"/>
      <c r="Y850" s="491"/>
      <c r="Z850" s="491"/>
      <c r="AA850" s="491"/>
      <c r="AB850" s="491"/>
      <c r="AC850" s="491"/>
      <c r="AD850" s="491"/>
      <c r="AE850" s="491"/>
      <c r="AF850" s="491"/>
      <c r="AG850" s="491"/>
      <c r="AH850" s="193"/>
    </row>
    <row r="851" spans="1:34" x14ac:dyDescent="0.25">
      <c r="A851" s="193"/>
      <c r="B851" s="492"/>
      <c r="C851" s="501"/>
      <c r="D851" s="492"/>
      <c r="E851" s="492"/>
      <c r="F851" s="492"/>
      <c r="G851" s="492"/>
      <c r="H851" s="492"/>
      <c r="I851" s="492"/>
      <c r="J851" s="492"/>
      <c r="K851" s="492"/>
      <c r="L851" s="492"/>
      <c r="M851" s="492"/>
      <c r="N851" s="492"/>
      <c r="O851" s="492"/>
      <c r="P851" s="492"/>
      <c r="Q851" s="492"/>
      <c r="R851" s="221"/>
      <c r="S851" s="493">
        <f>L847/12</f>
        <v>9.25</v>
      </c>
      <c r="T851" s="493"/>
      <c r="U851" s="222"/>
      <c r="V851" s="492"/>
      <c r="W851" s="492"/>
      <c r="X851" s="492"/>
      <c r="Y851" s="492"/>
      <c r="Z851" s="492"/>
      <c r="AA851" s="492"/>
      <c r="AB851" s="492"/>
      <c r="AC851" s="492"/>
      <c r="AD851" s="492"/>
      <c r="AE851" s="492"/>
      <c r="AF851" s="492"/>
      <c r="AG851" s="492"/>
      <c r="AH851" s="193"/>
    </row>
    <row r="852" spans="1:34" x14ac:dyDescent="0.25">
      <c r="A852" s="193"/>
      <c r="B852" s="490"/>
      <c r="C852" s="499" t="s">
        <v>271</v>
      </c>
      <c r="D852" s="490">
        <v>5</v>
      </c>
      <c r="E852" s="490">
        <v>0.625</v>
      </c>
      <c r="F852" s="490"/>
      <c r="G852" s="490"/>
      <c r="H852" s="490"/>
      <c r="I852" s="490">
        <v>2</v>
      </c>
      <c r="J852" s="490">
        <v>2</v>
      </c>
      <c r="K852" s="490">
        <v>30</v>
      </c>
      <c r="L852" s="490">
        <v>30</v>
      </c>
      <c r="M852" s="490"/>
      <c r="N852" s="490"/>
      <c r="O852" s="490"/>
      <c r="P852" s="490"/>
      <c r="Q852" s="490"/>
      <c r="R852" s="213"/>
      <c r="S852" s="498"/>
      <c r="T852" s="498"/>
      <c r="U852" s="214"/>
      <c r="V852" s="490">
        <f>SUM(R852:U856)</f>
        <v>5</v>
      </c>
      <c r="W852" s="490">
        <f>+SUM(K852:Q856)</f>
        <v>60</v>
      </c>
      <c r="X852" s="490">
        <f>(+I852*J852*W852)/12</f>
        <v>20</v>
      </c>
      <c r="Y852" s="490">
        <f t="shared" ref="Y852:AF852" si="153">IF(Y$4=$D852,$X852*Y$5,0)</f>
        <v>0</v>
      </c>
      <c r="Z852" s="490">
        <f t="shared" si="153"/>
        <v>0</v>
      </c>
      <c r="AA852" s="490">
        <f t="shared" si="153"/>
        <v>20.86</v>
      </c>
      <c r="AB852" s="490">
        <f t="shared" si="153"/>
        <v>0</v>
      </c>
      <c r="AC852" s="490">
        <f t="shared" si="153"/>
        <v>0</v>
      </c>
      <c r="AD852" s="490">
        <f t="shared" si="153"/>
        <v>0</v>
      </c>
      <c r="AE852" s="490">
        <f t="shared" si="153"/>
        <v>0</v>
      </c>
      <c r="AF852" s="490">
        <f t="shared" si="153"/>
        <v>0</v>
      </c>
      <c r="AG852" s="490"/>
      <c r="AH852" s="193"/>
    </row>
    <row r="853" spans="1:34" x14ac:dyDescent="0.25">
      <c r="A853" s="193"/>
      <c r="B853" s="491"/>
      <c r="C853" s="500"/>
      <c r="D853" s="491"/>
      <c r="E853" s="491"/>
      <c r="F853" s="491"/>
      <c r="G853" s="491"/>
      <c r="H853" s="491"/>
      <c r="I853" s="491"/>
      <c r="J853" s="491"/>
      <c r="K853" s="491"/>
      <c r="L853" s="491"/>
      <c r="M853" s="491"/>
      <c r="N853" s="491"/>
      <c r="O853" s="491"/>
      <c r="P853" s="491"/>
      <c r="Q853" s="491"/>
      <c r="R853" s="213"/>
      <c r="S853" s="215"/>
      <c r="T853" s="216"/>
      <c r="U853" s="214"/>
      <c r="V853" s="491"/>
      <c r="W853" s="491"/>
      <c r="X853" s="491"/>
      <c r="Y853" s="491"/>
      <c r="Z853" s="491"/>
      <c r="AA853" s="491"/>
      <c r="AB853" s="491"/>
      <c r="AC853" s="491"/>
      <c r="AD853" s="491"/>
      <c r="AE853" s="491"/>
      <c r="AF853" s="491"/>
      <c r="AG853" s="491"/>
      <c r="AH853" s="193"/>
    </row>
    <row r="854" spans="1:34" x14ac:dyDescent="0.25">
      <c r="A854" s="193"/>
      <c r="B854" s="491"/>
      <c r="C854" s="500"/>
      <c r="D854" s="491"/>
      <c r="E854" s="491"/>
      <c r="F854" s="491"/>
      <c r="G854" s="491"/>
      <c r="H854" s="491"/>
      <c r="I854" s="491"/>
      <c r="J854" s="491"/>
      <c r="K854" s="491"/>
      <c r="L854" s="491"/>
      <c r="M854" s="491"/>
      <c r="N854" s="491"/>
      <c r="O854" s="491"/>
      <c r="P854" s="491"/>
      <c r="Q854" s="491"/>
      <c r="R854" s="217">
        <f>K852/12</f>
        <v>2.5</v>
      </c>
      <c r="S854" s="223"/>
      <c r="T854" s="195"/>
      <c r="U854" s="219"/>
      <c r="V854" s="491"/>
      <c r="W854" s="491"/>
      <c r="X854" s="491"/>
      <c r="Y854" s="491"/>
      <c r="Z854" s="491"/>
      <c r="AA854" s="491"/>
      <c r="AB854" s="491"/>
      <c r="AC854" s="491"/>
      <c r="AD854" s="491"/>
      <c r="AE854" s="491"/>
      <c r="AF854" s="491"/>
      <c r="AG854" s="491"/>
      <c r="AH854" s="193"/>
    </row>
    <row r="855" spans="1:34" ht="15.75" thickBot="1" x14ac:dyDescent="0.3">
      <c r="A855" s="193"/>
      <c r="B855" s="491"/>
      <c r="C855" s="500"/>
      <c r="D855" s="491"/>
      <c r="E855" s="491"/>
      <c r="F855" s="491"/>
      <c r="G855" s="491"/>
      <c r="H855" s="491"/>
      <c r="I855" s="491"/>
      <c r="J855" s="491"/>
      <c r="K855" s="491"/>
      <c r="L855" s="491"/>
      <c r="M855" s="491"/>
      <c r="N855" s="491"/>
      <c r="O855" s="491"/>
      <c r="P855" s="491"/>
      <c r="Q855" s="491"/>
      <c r="R855" s="213"/>
      <c r="S855" s="224"/>
      <c r="T855" s="220"/>
      <c r="U855" s="214"/>
      <c r="V855" s="491"/>
      <c r="W855" s="491"/>
      <c r="X855" s="491"/>
      <c r="Y855" s="491"/>
      <c r="Z855" s="491"/>
      <c r="AA855" s="491"/>
      <c r="AB855" s="491"/>
      <c r="AC855" s="491"/>
      <c r="AD855" s="491"/>
      <c r="AE855" s="491"/>
      <c r="AF855" s="491"/>
      <c r="AG855" s="491"/>
      <c r="AH855" s="193"/>
    </row>
    <row r="856" spans="1:34" x14ac:dyDescent="0.25">
      <c r="A856" s="193"/>
      <c r="B856" s="492"/>
      <c r="C856" s="501"/>
      <c r="D856" s="492"/>
      <c r="E856" s="492"/>
      <c r="F856" s="492"/>
      <c r="G856" s="492"/>
      <c r="H856" s="492"/>
      <c r="I856" s="492"/>
      <c r="J856" s="492"/>
      <c r="K856" s="492"/>
      <c r="L856" s="492"/>
      <c r="M856" s="492"/>
      <c r="N856" s="492"/>
      <c r="O856" s="492"/>
      <c r="P856" s="492"/>
      <c r="Q856" s="492"/>
      <c r="R856" s="221"/>
      <c r="S856" s="493">
        <f>L852/12</f>
        <v>2.5</v>
      </c>
      <c r="T856" s="493"/>
      <c r="U856" s="222"/>
      <c r="V856" s="492"/>
      <c r="W856" s="492"/>
      <c r="X856" s="492"/>
      <c r="Y856" s="492"/>
      <c r="Z856" s="492"/>
      <c r="AA856" s="492"/>
      <c r="AB856" s="492"/>
      <c r="AC856" s="492"/>
      <c r="AD856" s="492"/>
      <c r="AE856" s="492"/>
      <c r="AF856" s="492"/>
      <c r="AG856" s="492"/>
      <c r="AH856" s="193"/>
    </row>
    <row r="857" spans="1:34" x14ac:dyDescent="0.25">
      <c r="A857" s="193"/>
      <c r="B857" s="490"/>
      <c r="C857" s="490" t="s">
        <v>277</v>
      </c>
      <c r="D857" s="490">
        <v>5</v>
      </c>
      <c r="E857" s="490">
        <v>0.625</v>
      </c>
      <c r="F857" s="494">
        <v>16</v>
      </c>
      <c r="G857" s="229"/>
      <c r="H857" s="490"/>
      <c r="I857" s="490">
        <f>ROUNDUP(G847/F857,0)</f>
        <v>8</v>
      </c>
      <c r="J857" s="490">
        <v>1</v>
      </c>
      <c r="K857" s="490">
        <v>6</v>
      </c>
      <c r="L857" s="490">
        <f>4*12-2</f>
        <v>46</v>
      </c>
      <c r="M857" s="490">
        <f>11*12</f>
        <v>132</v>
      </c>
      <c r="N857" s="490"/>
      <c r="O857" s="490"/>
      <c r="P857" s="490"/>
      <c r="Q857" s="490"/>
      <c r="R857" s="213"/>
      <c r="S857" s="498"/>
      <c r="T857" s="498"/>
      <c r="U857" s="214"/>
      <c r="V857" s="490">
        <f>SUM(R857:U861)</f>
        <v>15.333333333333334</v>
      </c>
      <c r="W857" s="490">
        <f>+SUM(K857:Q861)</f>
        <v>184</v>
      </c>
      <c r="X857" s="490">
        <f>(+I857*J857*W857)/12</f>
        <v>122.66666666666667</v>
      </c>
      <c r="Y857" s="490">
        <f t="shared" ref="Y857:AF857" si="154">IF(Y$4=$D857,$X857*Y$5,0)</f>
        <v>0</v>
      </c>
      <c r="Z857" s="490">
        <f t="shared" si="154"/>
        <v>0</v>
      </c>
      <c r="AA857" s="490">
        <f t="shared" si="154"/>
        <v>127.94133333333333</v>
      </c>
      <c r="AB857" s="490">
        <f t="shared" si="154"/>
        <v>0</v>
      </c>
      <c r="AC857" s="490">
        <f t="shared" si="154"/>
        <v>0</v>
      </c>
      <c r="AD857" s="490">
        <f t="shared" si="154"/>
        <v>0</v>
      </c>
      <c r="AE857" s="490">
        <f t="shared" si="154"/>
        <v>0</v>
      </c>
      <c r="AF857" s="490">
        <f t="shared" si="154"/>
        <v>0</v>
      </c>
      <c r="AG857" s="490"/>
      <c r="AH857" s="193"/>
    </row>
    <row r="858" spans="1:34" x14ac:dyDescent="0.25">
      <c r="A858" s="193"/>
      <c r="B858" s="491"/>
      <c r="C858" s="491"/>
      <c r="D858" s="491"/>
      <c r="E858" s="491"/>
      <c r="F858" s="495"/>
      <c r="G858" s="230"/>
      <c r="H858" s="491"/>
      <c r="I858" s="491"/>
      <c r="J858" s="491"/>
      <c r="K858" s="491"/>
      <c r="L858" s="491"/>
      <c r="M858" s="491"/>
      <c r="N858" s="491"/>
      <c r="O858" s="491"/>
      <c r="P858" s="491"/>
      <c r="Q858" s="491"/>
      <c r="R858" s="213"/>
      <c r="S858" s="215"/>
      <c r="T858" s="216"/>
      <c r="U858" s="214"/>
      <c r="V858" s="491"/>
      <c r="W858" s="491"/>
      <c r="X858" s="491"/>
      <c r="Y858" s="491"/>
      <c r="Z858" s="491"/>
      <c r="AA858" s="491"/>
      <c r="AB858" s="491"/>
      <c r="AC858" s="491"/>
      <c r="AD858" s="491"/>
      <c r="AE858" s="491"/>
      <c r="AF858" s="491"/>
      <c r="AG858" s="491"/>
      <c r="AH858" s="193"/>
    </row>
    <row r="859" spans="1:34" x14ac:dyDescent="0.25">
      <c r="A859" s="193"/>
      <c r="B859" s="491"/>
      <c r="C859" s="491"/>
      <c r="D859" s="491"/>
      <c r="E859" s="491"/>
      <c r="F859" s="495"/>
      <c r="G859" s="230"/>
      <c r="H859" s="491"/>
      <c r="I859" s="491"/>
      <c r="J859" s="491"/>
      <c r="K859" s="491"/>
      <c r="L859" s="491"/>
      <c r="M859" s="491"/>
      <c r="N859" s="491"/>
      <c r="O859" s="491"/>
      <c r="P859" s="491"/>
      <c r="Q859" s="491"/>
      <c r="R859" s="225">
        <f>K857/12</f>
        <v>0.5</v>
      </c>
      <c r="S859" s="218"/>
      <c r="T859" s="218"/>
      <c r="U859" s="219"/>
      <c r="V859" s="491"/>
      <c r="W859" s="491"/>
      <c r="X859" s="491"/>
      <c r="Y859" s="491"/>
      <c r="Z859" s="491"/>
      <c r="AA859" s="491"/>
      <c r="AB859" s="491"/>
      <c r="AC859" s="491"/>
      <c r="AD859" s="491"/>
      <c r="AE859" s="491"/>
      <c r="AF859" s="491"/>
      <c r="AG859" s="491"/>
      <c r="AH859" s="193"/>
    </row>
    <row r="860" spans="1:34" ht="15.75" thickBot="1" x14ac:dyDescent="0.3">
      <c r="A860" s="193"/>
      <c r="B860" s="491"/>
      <c r="C860" s="491"/>
      <c r="D860" s="491"/>
      <c r="E860" s="491"/>
      <c r="F860" s="495"/>
      <c r="G860" s="230"/>
      <c r="H860" s="491"/>
      <c r="I860" s="491"/>
      <c r="J860" s="491"/>
      <c r="K860" s="491"/>
      <c r="L860" s="491"/>
      <c r="M860" s="491"/>
      <c r="N860" s="491"/>
      <c r="O860" s="491"/>
      <c r="P860" s="491"/>
      <c r="Q860" s="491"/>
      <c r="R860" s="226"/>
      <c r="S860" s="220"/>
      <c r="T860" s="220"/>
      <c r="U860" s="214"/>
      <c r="V860" s="491"/>
      <c r="W860" s="491"/>
      <c r="X860" s="491"/>
      <c r="Y860" s="491"/>
      <c r="Z860" s="491"/>
      <c r="AA860" s="491"/>
      <c r="AB860" s="491"/>
      <c r="AC860" s="491"/>
      <c r="AD860" s="491"/>
      <c r="AE860" s="491"/>
      <c r="AF860" s="491"/>
      <c r="AG860" s="491"/>
      <c r="AH860" s="193"/>
    </row>
    <row r="861" spans="1:34" x14ac:dyDescent="0.25">
      <c r="A861" s="193"/>
      <c r="B861" s="492"/>
      <c r="C861" s="492"/>
      <c r="D861" s="491"/>
      <c r="E861" s="491"/>
      <c r="F861" s="496"/>
      <c r="G861" s="231"/>
      <c r="H861" s="492"/>
      <c r="I861" s="492"/>
      <c r="J861" s="492"/>
      <c r="K861" s="492"/>
      <c r="L861" s="492"/>
      <c r="M861" s="492"/>
      <c r="N861" s="492"/>
      <c r="O861" s="492"/>
      <c r="P861" s="492"/>
      <c r="Q861" s="492"/>
      <c r="R861" s="221"/>
      <c r="S861" s="493">
        <f>+SUM(L857:M861)/12</f>
        <v>14.833333333333334</v>
      </c>
      <c r="T861" s="493"/>
      <c r="U861" s="222"/>
      <c r="V861" s="492"/>
      <c r="W861" s="492"/>
      <c r="X861" s="492"/>
      <c r="Y861" s="492"/>
      <c r="Z861" s="492"/>
      <c r="AA861" s="492"/>
      <c r="AB861" s="492"/>
      <c r="AC861" s="492"/>
      <c r="AD861" s="492"/>
      <c r="AE861" s="492"/>
      <c r="AF861" s="492"/>
      <c r="AG861" s="492"/>
      <c r="AH861" s="193"/>
    </row>
    <row r="862" spans="1:34" x14ac:dyDescent="0.25">
      <c r="A862" s="193"/>
      <c r="B862" s="490"/>
      <c r="C862" s="490" t="s">
        <v>286</v>
      </c>
      <c r="D862" s="490">
        <v>5</v>
      </c>
      <c r="E862" s="490">
        <v>0.625</v>
      </c>
      <c r="F862" s="494">
        <v>16</v>
      </c>
      <c r="G862" s="229"/>
      <c r="H862" s="490"/>
      <c r="I862" s="490">
        <f>ROUNDUP(M857/F862,0)</f>
        <v>9</v>
      </c>
      <c r="J862" s="490">
        <v>1</v>
      </c>
      <c r="K862" s="490"/>
      <c r="L862" s="490">
        <f>G845-2-2</f>
        <v>111</v>
      </c>
      <c r="M862" s="490"/>
      <c r="N862" s="490"/>
      <c r="O862" s="490"/>
      <c r="P862" s="490"/>
      <c r="Q862" s="490"/>
      <c r="R862" s="213"/>
      <c r="S862" s="498"/>
      <c r="T862" s="498"/>
      <c r="U862" s="214"/>
      <c r="V862" s="490">
        <f>SUM(R862:U866)</f>
        <v>9.25</v>
      </c>
      <c r="W862" s="490">
        <f>+SUM(K862:Q866)</f>
        <v>111</v>
      </c>
      <c r="X862" s="490">
        <f>(+I862*J862*W862)/12</f>
        <v>83.25</v>
      </c>
      <c r="Y862" s="490">
        <f t="shared" ref="Y862:AF862" si="155">IF(Y$4=$D862,$X862*Y$5,0)</f>
        <v>0</v>
      </c>
      <c r="Z862" s="490">
        <f t="shared" si="155"/>
        <v>0</v>
      </c>
      <c r="AA862" s="490">
        <f t="shared" si="155"/>
        <v>86.82974999999999</v>
      </c>
      <c r="AB862" s="490">
        <f t="shared" si="155"/>
        <v>0</v>
      </c>
      <c r="AC862" s="490">
        <f t="shared" si="155"/>
        <v>0</v>
      </c>
      <c r="AD862" s="490">
        <f t="shared" si="155"/>
        <v>0</v>
      </c>
      <c r="AE862" s="490">
        <f t="shared" si="155"/>
        <v>0</v>
      </c>
      <c r="AF862" s="490">
        <f t="shared" si="155"/>
        <v>0</v>
      </c>
      <c r="AG862" s="490"/>
      <c r="AH862" s="193"/>
    </row>
    <row r="863" spans="1:34" x14ac:dyDescent="0.25">
      <c r="A863" s="193"/>
      <c r="B863" s="491"/>
      <c r="C863" s="491"/>
      <c r="D863" s="491"/>
      <c r="E863" s="491"/>
      <c r="F863" s="495"/>
      <c r="G863" s="230"/>
      <c r="H863" s="491"/>
      <c r="I863" s="491"/>
      <c r="J863" s="491"/>
      <c r="K863" s="491"/>
      <c r="L863" s="491"/>
      <c r="M863" s="491"/>
      <c r="N863" s="491"/>
      <c r="O863" s="491"/>
      <c r="P863" s="491"/>
      <c r="Q863" s="491"/>
      <c r="R863" s="213"/>
      <c r="S863" s="215"/>
      <c r="T863" s="216"/>
      <c r="U863" s="214"/>
      <c r="V863" s="491"/>
      <c r="W863" s="491"/>
      <c r="X863" s="491"/>
      <c r="Y863" s="491"/>
      <c r="Z863" s="491"/>
      <c r="AA863" s="491"/>
      <c r="AB863" s="491"/>
      <c r="AC863" s="491"/>
      <c r="AD863" s="491"/>
      <c r="AE863" s="491"/>
      <c r="AF863" s="491"/>
      <c r="AG863" s="491"/>
      <c r="AH863" s="193"/>
    </row>
    <row r="864" spans="1:34" x14ac:dyDescent="0.25">
      <c r="A864" s="193"/>
      <c r="B864" s="491"/>
      <c r="C864" s="491"/>
      <c r="D864" s="491"/>
      <c r="E864" s="491"/>
      <c r="F864" s="495"/>
      <c r="G864" s="230"/>
      <c r="H864" s="491"/>
      <c r="I864" s="491"/>
      <c r="J864" s="491"/>
      <c r="K864" s="491"/>
      <c r="L864" s="491"/>
      <c r="M864" s="491"/>
      <c r="N864" s="491"/>
      <c r="O864" s="491"/>
      <c r="P864" s="491"/>
      <c r="Q864" s="497"/>
      <c r="R864" s="217"/>
      <c r="S864" s="218"/>
      <c r="T864" s="218"/>
      <c r="U864" s="219"/>
      <c r="V864" s="491"/>
      <c r="W864" s="491"/>
      <c r="X864" s="491"/>
      <c r="Y864" s="491"/>
      <c r="Z864" s="491"/>
      <c r="AA864" s="491"/>
      <c r="AB864" s="491"/>
      <c r="AC864" s="491"/>
      <c r="AD864" s="491"/>
      <c r="AE864" s="491"/>
      <c r="AF864" s="491"/>
      <c r="AG864" s="491"/>
      <c r="AH864" s="193"/>
    </row>
    <row r="865" spans="1:34" ht="15.75" thickBot="1" x14ac:dyDescent="0.3">
      <c r="A865" s="193"/>
      <c r="B865" s="491"/>
      <c r="C865" s="491"/>
      <c r="D865" s="491"/>
      <c r="E865" s="491"/>
      <c r="F865" s="495"/>
      <c r="G865" s="230"/>
      <c r="H865" s="491"/>
      <c r="I865" s="491"/>
      <c r="J865" s="491"/>
      <c r="K865" s="491"/>
      <c r="L865" s="491"/>
      <c r="M865" s="491"/>
      <c r="N865" s="491"/>
      <c r="O865" s="491"/>
      <c r="P865" s="491"/>
      <c r="Q865" s="497"/>
      <c r="R865" s="213"/>
      <c r="S865" s="220"/>
      <c r="T865" s="220"/>
      <c r="U865" s="214"/>
      <c r="V865" s="491"/>
      <c r="W865" s="491"/>
      <c r="X865" s="491"/>
      <c r="Y865" s="491"/>
      <c r="Z865" s="491"/>
      <c r="AA865" s="491"/>
      <c r="AB865" s="491"/>
      <c r="AC865" s="491"/>
      <c r="AD865" s="491"/>
      <c r="AE865" s="491"/>
      <c r="AF865" s="491"/>
      <c r="AG865" s="491"/>
      <c r="AH865" s="193"/>
    </row>
    <row r="866" spans="1:34" x14ac:dyDescent="0.25">
      <c r="A866" s="193"/>
      <c r="B866" s="492"/>
      <c r="C866" s="492"/>
      <c r="D866" s="492"/>
      <c r="E866" s="492"/>
      <c r="F866" s="496"/>
      <c r="G866" s="231"/>
      <c r="H866" s="492"/>
      <c r="I866" s="492"/>
      <c r="J866" s="492"/>
      <c r="K866" s="492"/>
      <c r="L866" s="492"/>
      <c r="M866" s="492"/>
      <c r="N866" s="492"/>
      <c r="O866" s="492"/>
      <c r="P866" s="492"/>
      <c r="Q866" s="492"/>
      <c r="R866" s="221"/>
      <c r="S866" s="493">
        <f>L862/12</f>
        <v>9.25</v>
      </c>
      <c r="T866" s="493"/>
      <c r="U866" s="222"/>
      <c r="V866" s="492"/>
      <c r="W866" s="492"/>
      <c r="X866" s="492"/>
      <c r="Y866" s="492"/>
      <c r="Z866" s="492"/>
      <c r="AA866" s="492"/>
      <c r="AB866" s="492"/>
      <c r="AC866" s="492"/>
      <c r="AD866" s="492"/>
      <c r="AE866" s="492"/>
      <c r="AF866" s="492"/>
      <c r="AG866" s="492"/>
      <c r="AH866" s="193"/>
    </row>
    <row r="867" spans="1:34" ht="15.75" thickBot="1" x14ac:dyDescent="0.3">
      <c r="A867" s="195"/>
      <c r="B867" s="200" t="s">
        <v>276</v>
      </c>
      <c r="C867" s="199" t="s">
        <v>379</v>
      </c>
      <c r="D867" s="197">
        <v>60</v>
      </c>
      <c r="E867" s="201">
        <v>8</v>
      </c>
      <c r="F867" s="202"/>
      <c r="G867" s="202">
        <f>(35*12)+3</f>
        <v>423</v>
      </c>
      <c r="H867" s="202">
        <v>16</v>
      </c>
      <c r="I867" s="202">
        <v>12</v>
      </c>
      <c r="J867" s="202">
        <v>12</v>
      </c>
      <c r="K867" s="199"/>
      <c r="L867" s="199"/>
      <c r="M867" s="199"/>
      <c r="N867" s="199"/>
      <c r="O867" s="199"/>
      <c r="P867" s="199"/>
      <c r="Q867" s="198"/>
      <c r="R867" s="196"/>
      <c r="S867" s="196"/>
      <c r="T867" s="196"/>
      <c r="U867" s="196"/>
      <c r="V867" s="203"/>
      <c r="W867" s="202"/>
      <c r="X867" s="202"/>
      <c r="Y867" s="199"/>
      <c r="Z867" s="199"/>
      <c r="AA867" s="199"/>
      <c r="AB867" s="199"/>
      <c r="AC867" s="199"/>
      <c r="AD867" s="199"/>
      <c r="AE867" s="199"/>
      <c r="AF867" s="199"/>
      <c r="AG867" s="199"/>
      <c r="AH867" s="195"/>
    </row>
    <row r="868" spans="1:34" ht="15.75" thickBot="1" x14ac:dyDescent="0.3">
      <c r="A868" s="193"/>
      <c r="B868" s="204"/>
      <c r="C868" s="205"/>
      <c r="D868" s="194"/>
      <c r="E868" s="206"/>
      <c r="F868" s="205"/>
      <c r="G868" s="205"/>
      <c r="H868" s="207">
        <v>3</v>
      </c>
      <c r="I868" s="207">
        <v>2</v>
      </c>
      <c r="J868" s="205"/>
      <c r="K868" s="205"/>
      <c r="L868" s="205"/>
      <c r="M868" s="205"/>
      <c r="N868" s="205"/>
      <c r="O868" s="205"/>
      <c r="P868" s="205"/>
      <c r="Q868" s="208"/>
      <c r="R868" s="209"/>
      <c r="S868" s="210"/>
      <c r="T868" s="210"/>
      <c r="U868" s="211"/>
      <c r="V868" s="212"/>
      <c r="W868" s="204"/>
      <c r="X868" s="204"/>
      <c r="Y868" s="205"/>
      <c r="Z868" s="205"/>
      <c r="AA868" s="205"/>
      <c r="AB868" s="205"/>
      <c r="AC868" s="205"/>
      <c r="AD868" s="205"/>
      <c r="AE868" s="205"/>
      <c r="AF868" s="205"/>
      <c r="AG868" s="205"/>
      <c r="AH868" s="193"/>
    </row>
    <row r="869" spans="1:34" x14ac:dyDescent="0.25">
      <c r="A869" s="193"/>
      <c r="B869" s="490"/>
      <c r="C869" s="499" t="s">
        <v>265</v>
      </c>
      <c r="D869" s="490">
        <v>5</v>
      </c>
      <c r="E869" s="490">
        <v>0.625</v>
      </c>
      <c r="F869" s="490"/>
      <c r="G869" s="490">
        <f>G867</f>
        <v>423</v>
      </c>
      <c r="H869" s="490"/>
      <c r="I869" s="490">
        <v>2</v>
      </c>
      <c r="J869" s="490">
        <v>1</v>
      </c>
      <c r="K869" s="490"/>
      <c r="L869" s="490">
        <f>G867-2-2</f>
        <v>419</v>
      </c>
      <c r="M869" s="490"/>
      <c r="N869" s="490"/>
      <c r="O869" s="490"/>
      <c r="P869" s="490"/>
      <c r="Q869" s="490"/>
      <c r="R869" s="213"/>
      <c r="S869" s="502"/>
      <c r="T869" s="502"/>
      <c r="U869" s="214"/>
      <c r="V869" s="490">
        <f>SUM(R869:U873)</f>
        <v>34.916666666666664</v>
      </c>
      <c r="W869" s="490">
        <f>+SUM(K869:Q873)</f>
        <v>419</v>
      </c>
      <c r="X869" s="490">
        <f>(+I869*J869*W869)/12</f>
        <v>69.833333333333329</v>
      </c>
      <c r="Y869" s="490">
        <f>IF(Y$4=$D869,$X869*Y$5,0)</f>
        <v>0</v>
      </c>
      <c r="Z869" s="490">
        <f t="shared" ref="Z869:AF869" si="156">IF(Z$4=$D869,$X869*Z$5,0)</f>
        <v>0</v>
      </c>
      <c r="AA869" s="490">
        <f t="shared" si="156"/>
        <v>72.836166666666657</v>
      </c>
      <c r="AB869" s="490">
        <f t="shared" si="156"/>
        <v>0</v>
      </c>
      <c r="AC869" s="490">
        <f t="shared" si="156"/>
        <v>0</v>
      </c>
      <c r="AD869" s="490">
        <f t="shared" si="156"/>
        <v>0</v>
      </c>
      <c r="AE869" s="490">
        <f t="shared" si="156"/>
        <v>0</v>
      </c>
      <c r="AF869" s="490">
        <f t="shared" si="156"/>
        <v>0</v>
      </c>
      <c r="AG869" s="490"/>
      <c r="AH869" s="193"/>
    </row>
    <row r="870" spans="1:34" x14ac:dyDescent="0.25">
      <c r="A870" s="193"/>
      <c r="B870" s="491"/>
      <c r="C870" s="500"/>
      <c r="D870" s="491"/>
      <c r="E870" s="491"/>
      <c r="F870" s="491"/>
      <c r="G870" s="491"/>
      <c r="H870" s="491"/>
      <c r="I870" s="491"/>
      <c r="J870" s="491"/>
      <c r="K870" s="491"/>
      <c r="L870" s="491"/>
      <c r="M870" s="491"/>
      <c r="N870" s="491"/>
      <c r="O870" s="491"/>
      <c r="P870" s="491"/>
      <c r="Q870" s="491"/>
      <c r="R870" s="213"/>
      <c r="S870" s="215"/>
      <c r="T870" s="216"/>
      <c r="U870" s="214"/>
      <c r="V870" s="491"/>
      <c r="W870" s="491"/>
      <c r="X870" s="491"/>
      <c r="Y870" s="491"/>
      <c r="Z870" s="491"/>
      <c r="AA870" s="491"/>
      <c r="AB870" s="491"/>
      <c r="AC870" s="491"/>
      <c r="AD870" s="491"/>
      <c r="AE870" s="491"/>
      <c r="AF870" s="491"/>
      <c r="AG870" s="491"/>
      <c r="AH870" s="193"/>
    </row>
    <row r="871" spans="1:34" x14ac:dyDescent="0.25">
      <c r="A871" s="193"/>
      <c r="B871" s="491"/>
      <c r="C871" s="500"/>
      <c r="D871" s="491"/>
      <c r="E871" s="491"/>
      <c r="F871" s="491"/>
      <c r="G871" s="491"/>
      <c r="H871" s="491"/>
      <c r="I871" s="491"/>
      <c r="J871" s="491"/>
      <c r="K871" s="491"/>
      <c r="L871" s="491"/>
      <c r="M871" s="491"/>
      <c r="N871" s="491"/>
      <c r="O871" s="491"/>
      <c r="P871" s="491"/>
      <c r="Q871" s="491"/>
      <c r="R871" s="217"/>
      <c r="S871" s="218"/>
      <c r="T871" s="218"/>
      <c r="U871" s="219"/>
      <c r="V871" s="491"/>
      <c r="W871" s="491"/>
      <c r="X871" s="491"/>
      <c r="Y871" s="491"/>
      <c r="Z871" s="491"/>
      <c r="AA871" s="491"/>
      <c r="AB871" s="491"/>
      <c r="AC871" s="491"/>
      <c r="AD871" s="491"/>
      <c r="AE871" s="491"/>
      <c r="AF871" s="491"/>
      <c r="AG871" s="491"/>
      <c r="AH871" s="193"/>
    </row>
    <row r="872" spans="1:34" ht="15.75" thickBot="1" x14ac:dyDescent="0.3">
      <c r="A872" s="193"/>
      <c r="B872" s="491"/>
      <c r="C872" s="500"/>
      <c r="D872" s="491"/>
      <c r="E872" s="491"/>
      <c r="F872" s="491"/>
      <c r="G872" s="491"/>
      <c r="H872" s="491"/>
      <c r="I872" s="491"/>
      <c r="J872" s="491"/>
      <c r="K872" s="491"/>
      <c r="L872" s="491"/>
      <c r="M872" s="491"/>
      <c r="N872" s="491"/>
      <c r="O872" s="491"/>
      <c r="P872" s="491"/>
      <c r="Q872" s="491"/>
      <c r="R872" s="213"/>
      <c r="S872" s="220"/>
      <c r="T872" s="220"/>
      <c r="U872" s="214"/>
      <c r="V872" s="491"/>
      <c r="W872" s="491"/>
      <c r="X872" s="491"/>
      <c r="Y872" s="491"/>
      <c r="Z872" s="491"/>
      <c r="AA872" s="491"/>
      <c r="AB872" s="491"/>
      <c r="AC872" s="491"/>
      <c r="AD872" s="491"/>
      <c r="AE872" s="491"/>
      <c r="AF872" s="491"/>
      <c r="AG872" s="491"/>
      <c r="AH872" s="193"/>
    </row>
    <row r="873" spans="1:34" x14ac:dyDescent="0.25">
      <c r="A873" s="193"/>
      <c r="B873" s="492"/>
      <c r="C873" s="501"/>
      <c r="D873" s="492"/>
      <c r="E873" s="492"/>
      <c r="F873" s="492"/>
      <c r="G873" s="492"/>
      <c r="H873" s="492"/>
      <c r="I873" s="492"/>
      <c r="J873" s="492"/>
      <c r="K873" s="492"/>
      <c r="L873" s="492"/>
      <c r="M873" s="492"/>
      <c r="N873" s="492"/>
      <c r="O873" s="492"/>
      <c r="P873" s="492"/>
      <c r="Q873" s="492"/>
      <c r="R873" s="221"/>
      <c r="S873" s="493">
        <f>L869/12</f>
        <v>34.916666666666664</v>
      </c>
      <c r="T873" s="493"/>
      <c r="U873" s="222"/>
      <c r="V873" s="492"/>
      <c r="W873" s="492"/>
      <c r="X873" s="492"/>
      <c r="Y873" s="492"/>
      <c r="Z873" s="492"/>
      <c r="AA873" s="492"/>
      <c r="AB873" s="492"/>
      <c r="AC873" s="492"/>
      <c r="AD873" s="492"/>
      <c r="AE873" s="492"/>
      <c r="AF873" s="492"/>
      <c r="AG873" s="492"/>
      <c r="AH873" s="193"/>
    </row>
    <row r="874" spans="1:34" x14ac:dyDescent="0.25">
      <c r="A874" s="193"/>
      <c r="B874" s="490"/>
      <c r="C874" s="499" t="s">
        <v>271</v>
      </c>
      <c r="D874" s="490">
        <v>5</v>
      </c>
      <c r="E874" s="490">
        <v>0.625</v>
      </c>
      <c r="F874" s="490"/>
      <c r="G874" s="490"/>
      <c r="H874" s="490"/>
      <c r="I874" s="490">
        <v>2</v>
      </c>
      <c r="J874" s="490">
        <v>2</v>
      </c>
      <c r="K874" s="490">
        <v>30</v>
      </c>
      <c r="L874" s="490">
        <v>30</v>
      </c>
      <c r="M874" s="490"/>
      <c r="N874" s="490"/>
      <c r="O874" s="490"/>
      <c r="P874" s="490"/>
      <c r="Q874" s="490"/>
      <c r="R874" s="213"/>
      <c r="S874" s="498"/>
      <c r="T874" s="498"/>
      <c r="U874" s="214"/>
      <c r="V874" s="490">
        <f>SUM(R874:U878)</f>
        <v>5</v>
      </c>
      <c r="W874" s="490">
        <f>+SUM(K874:Q878)</f>
        <v>60</v>
      </c>
      <c r="X874" s="490">
        <f>(+I874*J874*W874)/12</f>
        <v>20</v>
      </c>
      <c r="Y874" s="490">
        <f t="shared" ref="Y874:AF874" si="157">IF(Y$4=$D874,$X874*Y$5,0)</f>
        <v>0</v>
      </c>
      <c r="Z874" s="490">
        <f t="shared" si="157"/>
        <v>0</v>
      </c>
      <c r="AA874" s="490">
        <f t="shared" si="157"/>
        <v>20.86</v>
      </c>
      <c r="AB874" s="490">
        <f t="shared" si="157"/>
        <v>0</v>
      </c>
      <c r="AC874" s="490">
        <f t="shared" si="157"/>
        <v>0</v>
      </c>
      <c r="AD874" s="490">
        <f t="shared" si="157"/>
        <v>0</v>
      </c>
      <c r="AE874" s="490">
        <f t="shared" si="157"/>
        <v>0</v>
      </c>
      <c r="AF874" s="490">
        <f t="shared" si="157"/>
        <v>0</v>
      </c>
      <c r="AG874" s="490"/>
      <c r="AH874" s="193"/>
    </row>
    <row r="875" spans="1:34" x14ac:dyDescent="0.25">
      <c r="A875" s="193"/>
      <c r="B875" s="491"/>
      <c r="C875" s="500"/>
      <c r="D875" s="491"/>
      <c r="E875" s="491"/>
      <c r="F875" s="491"/>
      <c r="G875" s="491"/>
      <c r="H875" s="491"/>
      <c r="I875" s="491"/>
      <c r="J875" s="491"/>
      <c r="K875" s="491"/>
      <c r="L875" s="491"/>
      <c r="M875" s="491"/>
      <c r="N875" s="491"/>
      <c r="O875" s="491"/>
      <c r="P875" s="491"/>
      <c r="Q875" s="491"/>
      <c r="R875" s="213"/>
      <c r="S875" s="215"/>
      <c r="T875" s="216"/>
      <c r="U875" s="214"/>
      <c r="V875" s="491"/>
      <c r="W875" s="491"/>
      <c r="X875" s="491"/>
      <c r="Y875" s="491"/>
      <c r="Z875" s="491"/>
      <c r="AA875" s="491"/>
      <c r="AB875" s="491"/>
      <c r="AC875" s="491"/>
      <c r="AD875" s="491"/>
      <c r="AE875" s="491"/>
      <c r="AF875" s="491"/>
      <c r="AG875" s="491"/>
      <c r="AH875" s="193"/>
    </row>
    <row r="876" spans="1:34" x14ac:dyDescent="0.25">
      <c r="A876" s="193"/>
      <c r="B876" s="491"/>
      <c r="C876" s="500"/>
      <c r="D876" s="491"/>
      <c r="E876" s="491"/>
      <c r="F876" s="491"/>
      <c r="G876" s="491"/>
      <c r="H876" s="491"/>
      <c r="I876" s="491"/>
      <c r="J876" s="491"/>
      <c r="K876" s="491"/>
      <c r="L876" s="491"/>
      <c r="M876" s="491"/>
      <c r="N876" s="491"/>
      <c r="O876" s="491"/>
      <c r="P876" s="491"/>
      <c r="Q876" s="491"/>
      <c r="R876" s="217">
        <f>K874/12</f>
        <v>2.5</v>
      </c>
      <c r="S876" s="223"/>
      <c r="T876" s="195"/>
      <c r="U876" s="219"/>
      <c r="V876" s="491"/>
      <c r="W876" s="491"/>
      <c r="X876" s="491"/>
      <c r="Y876" s="491"/>
      <c r="Z876" s="491"/>
      <c r="AA876" s="491"/>
      <c r="AB876" s="491"/>
      <c r="AC876" s="491"/>
      <c r="AD876" s="491"/>
      <c r="AE876" s="491"/>
      <c r="AF876" s="491"/>
      <c r="AG876" s="491"/>
      <c r="AH876" s="193"/>
    </row>
    <row r="877" spans="1:34" ht="15.75" thickBot="1" x14ac:dyDescent="0.3">
      <c r="A877" s="193"/>
      <c r="B877" s="491"/>
      <c r="C877" s="500"/>
      <c r="D877" s="491"/>
      <c r="E877" s="491"/>
      <c r="F877" s="491"/>
      <c r="G877" s="491"/>
      <c r="H877" s="491"/>
      <c r="I877" s="491"/>
      <c r="J877" s="491"/>
      <c r="K877" s="491"/>
      <c r="L877" s="491"/>
      <c r="M877" s="491"/>
      <c r="N877" s="491"/>
      <c r="O877" s="491"/>
      <c r="P877" s="491"/>
      <c r="Q877" s="491"/>
      <c r="R877" s="213"/>
      <c r="S877" s="224"/>
      <c r="T877" s="220"/>
      <c r="U877" s="214"/>
      <c r="V877" s="491"/>
      <c r="W877" s="491"/>
      <c r="X877" s="491"/>
      <c r="Y877" s="491"/>
      <c r="Z877" s="491"/>
      <c r="AA877" s="491"/>
      <c r="AB877" s="491"/>
      <c r="AC877" s="491"/>
      <c r="AD877" s="491"/>
      <c r="AE877" s="491"/>
      <c r="AF877" s="491"/>
      <c r="AG877" s="491"/>
      <c r="AH877" s="193"/>
    </row>
    <row r="878" spans="1:34" x14ac:dyDescent="0.25">
      <c r="A878" s="193"/>
      <c r="B878" s="492"/>
      <c r="C878" s="501"/>
      <c r="D878" s="492"/>
      <c r="E878" s="492"/>
      <c r="F878" s="492"/>
      <c r="G878" s="492"/>
      <c r="H878" s="492"/>
      <c r="I878" s="492"/>
      <c r="J878" s="492"/>
      <c r="K878" s="492"/>
      <c r="L878" s="492"/>
      <c r="M878" s="492"/>
      <c r="N878" s="492"/>
      <c r="O878" s="492"/>
      <c r="P878" s="492"/>
      <c r="Q878" s="492"/>
      <c r="R878" s="221"/>
      <c r="S878" s="493">
        <f>L874/12</f>
        <v>2.5</v>
      </c>
      <c r="T878" s="493"/>
      <c r="U878" s="222"/>
      <c r="V878" s="492"/>
      <c r="W878" s="492"/>
      <c r="X878" s="492"/>
      <c r="Y878" s="492"/>
      <c r="Z878" s="492"/>
      <c r="AA878" s="492"/>
      <c r="AB878" s="492"/>
      <c r="AC878" s="492"/>
      <c r="AD878" s="492"/>
      <c r="AE878" s="492"/>
      <c r="AF878" s="492"/>
      <c r="AG878" s="492"/>
      <c r="AH878" s="193"/>
    </row>
    <row r="879" spans="1:34" x14ac:dyDescent="0.25">
      <c r="A879" s="193"/>
      <c r="B879" s="490"/>
      <c r="C879" s="490" t="s">
        <v>277</v>
      </c>
      <c r="D879" s="490">
        <v>5</v>
      </c>
      <c r="E879" s="490">
        <v>0.625</v>
      </c>
      <c r="F879" s="494">
        <v>16</v>
      </c>
      <c r="G879" s="229"/>
      <c r="H879" s="490"/>
      <c r="I879" s="490">
        <f>ROUNDUP(G869/F879,0)</f>
        <v>27</v>
      </c>
      <c r="J879" s="490">
        <v>1</v>
      </c>
      <c r="K879" s="490">
        <v>6</v>
      </c>
      <c r="L879" s="490">
        <f>4*12-2</f>
        <v>46</v>
      </c>
      <c r="M879" s="490">
        <f>11*12</f>
        <v>132</v>
      </c>
      <c r="N879" s="490"/>
      <c r="O879" s="490"/>
      <c r="P879" s="490"/>
      <c r="Q879" s="490"/>
      <c r="R879" s="213"/>
      <c r="S879" s="498"/>
      <c r="T879" s="498"/>
      <c r="U879" s="214"/>
      <c r="V879" s="490">
        <f>SUM(R879:U883)</f>
        <v>15.333333333333334</v>
      </c>
      <c r="W879" s="490">
        <f>+SUM(K879:Q883)</f>
        <v>184</v>
      </c>
      <c r="X879" s="490">
        <f>(+I879*J879*W879)/12</f>
        <v>414</v>
      </c>
      <c r="Y879" s="490">
        <f t="shared" ref="Y879:AF879" si="158">IF(Y$4=$D879,$X879*Y$5,0)</f>
        <v>0</v>
      </c>
      <c r="Z879" s="490">
        <f t="shared" si="158"/>
        <v>0</v>
      </c>
      <c r="AA879" s="490">
        <f t="shared" si="158"/>
        <v>431.80199999999996</v>
      </c>
      <c r="AB879" s="490">
        <f t="shared" si="158"/>
        <v>0</v>
      </c>
      <c r="AC879" s="490">
        <f t="shared" si="158"/>
        <v>0</v>
      </c>
      <c r="AD879" s="490">
        <f t="shared" si="158"/>
        <v>0</v>
      </c>
      <c r="AE879" s="490">
        <f t="shared" si="158"/>
        <v>0</v>
      </c>
      <c r="AF879" s="490">
        <f t="shared" si="158"/>
        <v>0</v>
      </c>
      <c r="AG879" s="490"/>
      <c r="AH879" s="193"/>
    </row>
    <row r="880" spans="1:34" x14ac:dyDescent="0.25">
      <c r="A880" s="193"/>
      <c r="B880" s="491"/>
      <c r="C880" s="491"/>
      <c r="D880" s="491"/>
      <c r="E880" s="491"/>
      <c r="F880" s="495"/>
      <c r="G880" s="230"/>
      <c r="H880" s="491"/>
      <c r="I880" s="491"/>
      <c r="J880" s="491"/>
      <c r="K880" s="491"/>
      <c r="L880" s="491"/>
      <c r="M880" s="491"/>
      <c r="N880" s="491"/>
      <c r="O880" s="491"/>
      <c r="P880" s="491"/>
      <c r="Q880" s="491"/>
      <c r="R880" s="213"/>
      <c r="S880" s="215"/>
      <c r="T880" s="216"/>
      <c r="U880" s="214"/>
      <c r="V880" s="491"/>
      <c r="W880" s="491"/>
      <c r="X880" s="491"/>
      <c r="Y880" s="491"/>
      <c r="Z880" s="491"/>
      <c r="AA880" s="491"/>
      <c r="AB880" s="491"/>
      <c r="AC880" s="491"/>
      <c r="AD880" s="491"/>
      <c r="AE880" s="491"/>
      <c r="AF880" s="491"/>
      <c r="AG880" s="491"/>
      <c r="AH880" s="193"/>
    </row>
    <row r="881" spans="1:34" x14ac:dyDescent="0.25">
      <c r="A881" s="193"/>
      <c r="B881" s="491"/>
      <c r="C881" s="491"/>
      <c r="D881" s="491"/>
      <c r="E881" s="491"/>
      <c r="F881" s="495"/>
      <c r="G881" s="230"/>
      <c r="H881" s="491"/>
      <c r="I881" s="491"/>
      <c r="J881" s="491"/>
      <c r="K881" s="491"/>
      <c r="L881" s="491"/>
      <c r="M881" s="491"/>
      <c r="N881" s="491"/>
      <c r="O881" s="491"/>
      <c r="P881" s="491"/>
      <c r="Q881" s="491"/>
      <c r="R881" s="225">
        <f>K879/12</f>
        <v>0.5</v>
      </c>
      <c r="S881" s="218"/>
      <c r="T881" s="218"/>
      <c r="U881" s="219"/>
      <c r="V881" s="491"/>
      <c r="W881" s="491"/>
      <c r="X881" s="491"/>
      <c r="Y881" s="491"/>
      <c r="Z881" s="491"/>
      <c r="AA881" s="491"/>
      <c r="AB881" s="491"/>
      <c r="AC881" s="491"/>
      <c r="AD881" s="491"/>
      <c r="AE881" s="491"/>
      <c r="AF881" s="491"/>
      <c r="AG881" s="491"/>
      <c r="AH881" s="193"/>
    </row>
    <row r="882" spans="1:34" ht="15.75" thickBot="1" x14ac:dyDescent="0.3">
      <c r="A882" s="193"/>
      <c r="B882" s="491"/>
      <c r="C882" s="491"/>
      <c r="D882" s="491"/>
      <c r="E882" s="491"/>
      <c r="F882" s="495"/>
      <c r="G882" s="230"/>
      <c r="H882" s="491"/>
      <c r="I882" s="491"/>
      <c r="J882" s="491"/>
      <c r="K882" s="491"/>
      <c r="L882" s="491"/>
      <c r="M882" s="491"/>
      <c r="N882" s="491"/>
      <c r="O882" s="491"/>
      <c r="P882" s="491"/>
      <c r="Q882" s="491"/>
      <c r="R882" s="226"/>
      <c r="S882" s="220"/>
      <c r="T882" s="220"/>
      <c r="U882" s="214"/>
      <c r="V882" s="491"/>
      <c r="W882" s="491"/>
      <c r="X882" s="491"/>
      <c r="Y882" s="491"/>
      <c r="Z882" s="491"/>
      <c r="AA882" s="491"/>
      <c r="AB882" s="491"/>
      <c r="AC882" s="491"/>
      <c r="AD882" s="491"/>
      <c r="AE882" s="491"/>
      <c r="AF882" s="491"/>
      <c r="AG882" s="491"/>
      <c r="AH882" s="193"/>
    </row>
    <row r="883" spans="1:34" x14ac:dyDescent="0.25">
      <c r="A883" s="193"/>
      <c r="B883" s="492"/>
      <c r="C883" s="492"/>
      <c r="D883" s="491"/>
      <c r="E883" s="491"/>
      <c r="F883" s="496"/>
      <c r="G883" s="231"/>
      <c r="H883" s="492"/>
      <c r="I883" s="492"/>
      <c r="J883" s="492"/>
      <c r="K883" s="492"/>
      <c r="L883" s="492"/>
      <c r="M883" s="492"/>
      <c r="N883" s="492"/>
      <c r="O883" s="492"/>
      <c r="P883" s="492"/>
      <c r="Q883" s="492"/>
      <c r="R883" s="221"/>
      <c r="S883" s="493">
        <f>+SUM(L879:M883)/12</f>
        <v>14.833333333333334</v>
      </c>
      <c r="T883" s="493"/>
      <c r="U883" s="222"/>
      <c r="V883" s="492"/>
      <c r="W883" s="492"/>
      <c r="X883" s="492"/>
      <c r="Y883" s="492"/>
      <c r="Z883" s="492"/>
      <c r="AA883" s="492"/>
      <c r="AB883" s="492"/>
      <c r="AC883" s="492"/>
      <c r="AD883" s="492"/>
      <c r="AE883" s="492"/>
      <c r="AF883" s="492"/>
      <c r="AG883" s="492"/>
      <c r="AH883" s="193"/>
    </row>
    <row r="884" spans="1:34" x14ac:dyDescent="0.25">
      <c r="A884" s="193"/>
      <c r="B884" s="490"/>
      <c r="C884" s="490" t="s">
        <v>286</v>
      </c>
      <c r="D884" s="490">
        <v>5</v>
      </c>
      <c r="E884" s="490">
        <v>0.625</v>
      </c>
      <c r="F884" s="494">
        <v>16</v>
      </c>
      <c r="G884" s="229"/>
      <c r="H884" s="490"/>
      <c r="I884" s="490">
        <f>ROUNDUP(M879/F884,0)</f>
        <v>9</v>
      </c>
      <c r="J884" s="490">
        <v>1</v>
      </c>
      <c r="K884" s="490"/>
      <c r="L884" s="490">
        <f>G867-2-2</f>
        <v>419</v>
      </c>
      <c r="M884" s="490"/>
      <c r="N884" s="490"/>
      <c r="O884" s="490"/>
      <c r="P884" s="490"/>
      <c r="Q884" s="490"/>
      <c r="R884" s="213"/>
      <c r="S884" s="498"/>
      <c r="T884" s="498"/>
      <c r="U884" s="214"/>
      <c r="V884" s="490">
        <f>SUM(R884:U888)</f>
        <v>34.916666666666664</v>
      </c>
      <c r="W884" s="490">
        <f>+SUM(K884:Q888)</f>
        <v>419</v>
      </c>
      <c r="X884" s="490">
        <f>(+I884*J884*W884)/12</f>
        <v>314.25</v>
      </c>
      <c r="Y884" s="490">
        <f t="shared" ref="Y884:AF884" si="159">IF(Y$4=$D884,$X884*Y$5,0)</f>
        <v>0</v>
      </c>
      <c r="Z884" s="490">
        <f t="shared" si="159"/>
        <v>0</v>
      </c>
      <c r="AA884" s="490">
        <f t="shared" si="159"/>
        <v>327.76274999999998</v>
      </c>
      <c r="AB884" s="490">
        <f t="shared" si="159"/>
        <v>0</v>
      </c>
      <c r="AC884" s="490">
        <f t="shared" si="159"/>
        <v>0</v>
      </c>
      <c r="AD884" s="490">
        <f t="shared" si="159"/>
        <v>0</v>
      </c>
      <c r="AE884" s="490">
        <f t="shared" si="159"/>
        <v>0</v>
      </c>
      <c r="AF884" s="490">
        <f t="shared" si="159"/>
        <v>0</v>
      </c>
      <c r="AG884" s="490"/>
      <c r="AH884" s="193"/>
    </row>
    <row r="885" spans="1:34" x14ac:dyDescent="0.25">
      <c r="A885" s="193"/>
      <c r="B885" s="491"/>
      <c r="C885" s="491"/>
      <c r="D885" s="491"/>
      <c r="E885" s="491"/>
      <c r="F885" s="495"/>
      <c r="G885" s="230"/>
      <c r="H885" s="491"/>
      <c r="I885" s="491"/>
      <c r="J885" s="491"/>
      <c r="K885" s="491"/>
      <c r="L885" s="491"/>
      <c r="M885" s="491"/>
      <c r="N885" s="491"/>
      <c r="O885" s="491"/>
      <c r="P885" s="491"/>
      <c r="Q885" s="491"/>
      <c r="R885" s="213"/>
      <c r="S885" s="215"/>
      <c r="T885" s="216"/>
      <c r="U885" s="214"/>
      <c r="V885" s="491"/>
      <c r="W885" s="491"/>
      <c r="X885" s="491"/>
      <c r="Y885" s="491"/>
      <c r="Z885" s="491"/>
      <c r="AA885" s="491"/>
      <c r="AB885" s="491"/>
      <c r="AC885" s="491"/>
      <c r="AD885" s="491"/>
      <c r="AE885" s="491"/>
      <c r="AF885" s="491"/>
      <c r="AG885" s="491"/>
      <c r="AH885" s="193"/>
    </row>
    <row r="886" spans="1:34" x14ac:dyDescent="0.25">
      <c r="A886" s="193"/>
      <c r="B886" s="491"/>
      <c r="C886" s="491"/>
      <c r="D886" s="491"/>
      <c r="E886" s="491"/>
      <c r="F886" s="495"/>
      <c r="G886" s="230"/>
      <c r="H886" s="491"/>
      <c r="I886" s="491"/>
      <c r="J886" s="491"/>
      <c r="K886" s="491"/>
      <c r="L886" s="491"/>
      <c r="M886" s="491"/>
      <c r="N886" s="491"/>
      <c r="O886" s="491"/>
      <c r="P886" s="491"/>
      <c r="Q886" s="497"/>
      <c r="R886" s="217"/>
      <c r="S886" s="218"/>
      <c r="T886" s="218"/>
      <c r="U886" s="219"/>
      <c r="V886" s="491"/>
      <c r="W886" s="491"/>
      <c r="X886" s="491"/>
      <c r="Y886" s="491"/>
      <c r="Z886" s="491"/>
      <c r="AA886" s="491"/>
      <c r="AB886" s="491"/>
      <c r="AC886" s="491"/>
      <c r="AD886" s="491"/>
      <c r="AE886" s="491"/>
      <c r="AF886" s="491"/>
      <c r="AG886" s="491"/>
      <c r="AH886" s="193"/>
    </row>
    <row r="887" spans="1:34" ht="15.75" thickBot="1" x14ac:dyDescent="0.3">
      <c r="A887" s="193"/>
      <c r="B887" s="491"/>
      <c r="C887" s="491"/>
      <c r="D887" s="491"/>
      <c r="E887" s="491"/>
      <c r="F887" s="495"/>
      <c r="G887" s="230"/>
      <c r="H887" s="491"/>
      <c r="I887" s="491"/>
      <c r="J887" s="491"/>
      <c r="K887" s="491"/>
      <c r="L887" s="491"/>
      <c r="M887" s="491"/>
      <c r="N887" s="491"/>
      <c r="O887" s="491"/>
      <c r="P887" s="491"/>
      <c r="Q887" s="497"/>
      <c r="R887" s="213"/>
      <c r="S887" s="220"/>
      <c r="T887" s="220"/>
      <c r="U887" s="214"/>
      <c r="V887" s="491"/>
      <c r="W887" s="491"/>
      <c r="X887" s="491"/>
      <c r="Y887" s="491"/>
      <c r="Z887" s="491"/>
      <c r="AA887" s="491"/>
      <c r="AB887" s="491"/>
      <c r="AC887" s="491"/>
      <c r="AD887" s="491"/>
      <c r="AE887" s="491"/>
      <c r="AF887" s="491"/>
      <c r="AG887" s="491"/>
      <c r="AH887" s="193"/>
    </row>
    <row r="888" spans="1:34" x14ac:dyDescent="0.25">
      <c r="A888" s="193"/>
      <c r="B888" s="492"/>
      <c r="C888" s="492"/>
      <c r="D888" s="492"/>
      <c r="E888" s="492"/>
      <c r="F888" s="496"/>
      <c r="G888" s="231"/>
      <c r="H888" s="492"/>
      <c r="I888" s="492"/>
      <c r="J888" s="492"/>
      <c r="K888" s="492"/>
      <c r="L888" s="492"/>
      <c r="M888" s="492"/>
      <c r="N888" s="492"/>
      <c r="O888" s="492"/>
      <c r="P888" s="492"/>
      <c r="Q888" s="492"/>
      <c r="R888" s="221"/>
      <c r="S888" s="493">
        <f>L884/12</f>
        <v>34.916666666666664</v>
      </c>
      <c r="T888" s="493"/>
      <c r="U888" s="222"/>
      <c r="V888" s="492"/>
      <c r="W888" s="492"/>
      <c r="X888" s="492"/>
      <c r="Y888" s="492"/>
      <c r="Z888" s="492"/>
      <c r="AA888" s="492"/>
      <c r="AB888" s="492"/>
      <c r="AC888" s="492"/>
      <c r="AD888" s="492"/>
      <c r="AE888" s="492"/>
      <c r="AF888" s="492"/>
      <c r="AG888" s="492"/>
      <c r="AH888" s="193"/>
    </row>
    <row r="889" spans="1:34" ht="15.75" thickBot="1" x14ac:dyDescent="0.3">
      <c r="A889" s="195"/>
      <c r="B889" s="200" t="s">
        <v>278</v>
      </c>
      <c r="C889" s="199" t="s">
        <v>379</v>
      </c>
      <c r="D889" s="197">
        <v>60</v>
      </c>
      <c r="E889" s="201">
        <v>8</v>
      </c>
      <c r="F889" s="202"/>
      <c r="G889" s="202">
        <f>(6*12)+4</f>
        <v>76</v>
      </c>
      <c r="H889" s="202">
        <v>16</v>
      </c>
      <c r="I889" s="202">
        <v>12</v>
      </c>
      <c r="J889" s="202">
        <v>12</v>
      </c>
      <c r="K889" s="199"/>
      <c r="L889" s="199"/>
      <c r="M889" s="199"/>
      <c r="N889" s="199"/>
      <c r="O889" s="199"/>
      <c r="P889" s="199"/>
      <c r="Q889" s="198"/>
      <c r="R889" s="196"/>
      <c r="S889" s="196"/>
      <c r="T889" s="196"/>
      <c r="U889" s="196"/>
      <c r="V889" s="203"/>
      <c r="W889" s="202"/>
      <c r="X889" s="202"/>
      <c r="Y889" s="199"/>
      <c r="Z889" s="199"/>
      <c r="AA889" s="199"/>
      <c r="AB889" s="199"/>
      <c r="AC889" s="199"/>
      <c r="AD889" s="199"/>
      <c r="AE889" s="199"/>
      <c r="AF889" s="199"/>
      <c r="AG889" s="199"/>
      <c r="AH889" s="195"/>
    </row>
    <row r="890" spans="1:34" ht="15.75" thickBot="1" x14ac:dyDescent="0.3">
      <c r="A890" s="193"/>
      <c r="B890" s="204"/>
      <c r="C890" s="205"/>
      <c r="D890" s="194"/>
      <c r="E890" s="206"/>
      <c r="F890" s="205"/>
      <c r="G890" s="205"/>
      <c r="H890" s="207">
        <v>3</v>
      </c>
      <c r="I890" s="207">
        <v>2</v>
      </c>
      <c r="J890" s="205"/>
      <c r="K890" s="205"/>
      <c r="L890" s="205"/>
      <c r="M890" s="205"/>
      <c r="N890" s="205"/>
      <c r="O890" s="205"/>
      <c r="P890" s="205"/>
      <c r="Q890" s="208"/>
      <c r="R890" s="209"/>
      <c r="S890" s="210"/>
      <c r="T890" s="210"/>
      <c r="U890" s="211"/>
      <c r="V890" s="212"/>
      <c r="W890" s="204"/>
      <c r="X890" s="204"/>
      <c r="Y890" s="205"/>
      <c r="Z890" s="205"/>
      <c r="AA890" s="205"/>
      <c r="AB890" s="205"/>
      <c r="AC890" s="205"/>
      <c r="AD890" s="205"/>
      <c r="AE890" s="205"/>
      <c r="AF890" s="205"/>
      <c r="AG890" s="205"/>
      <c r="AH890" s="193"/>
    </row>
    <row r="891" spans="1:34" x14ac:dyDescent="0.25">
      <c r="A891" s="193"/>
      <c r="B891" s="490"/>
      <c r="C891" s="499" t="s">
        <v>265</v>
      </c>
      <c r="D891" s="490">
        <v>5</v>
      </c>
      <c r="E891" s="490">
        <v>0.625</v>
      </c>
      <c r="F891" s="490"/>
      <c r="G891" s="490">
        <f>G889</f>
        <v>76</v>
      </c>
      <c r="H891" s="490"/>
      <c r="I891" s="490">
        <v>2</v>
      </c>
      <c r="J891" s="490">
        <v>1</v>
      </c>
      <c r="K891" s="490"/>
      <c r="L891" s="490">
        <f>G889-2-2</f>
        <v>72</v>
      </c>
      <c r="M891" s="490"/>
      <c r="N891" s="490"/>
      <c r="O891" s="490"/>
      <c r="P891" s="490"/>
      <c r="Q891" s="490"/>
      <c r="R891" s="213"/>
      <c r="S891" s="502"/>
      <c r="T891" s="502"/>
      <c r="U891" s="214"/>
      <c r="V891" s="490">
        <f>SUM(R891:U895)</f>
        <v>6</v>
      </c>
      <c r="W891" s="490">
        <f>+SUM(K891:Q895)</f>
        <v>72</v>
      </c>
      <c r="X891" s="490">
        <f>(+I891*J891*W891)/12</f>
        <v>12</v>
      </c>
      <c r="Y891" s="490">
        <f>IF(Y$4=$D891,$X891*Y$5,0)</f>
        <v>0</v>
      </c>
      <c r="Z891" s="490">
        <f t="shared" ref="Z891:AF891" si="160">IF(Z$4=$D891,$X891*Z$5,0)</f>
        <v>0</v>
      </c>
      <c r="AA891" s="490">
        <f t="shared" si="160"/>
        <v>12.515999999999998</v>
      </c>
      <c r="AB891" s="490">
        <f t="shared" si="160"/>
        <v>0</v>
      </c>
      <c r="AC891" s="490">
        <f t="shared" si="160"/>
        <v>0</v>
      </c>
      <c r="AD891" s="490">
        <f t="shared" si="160"/>
        <v>0</v>
      </c>
      <c r="AE891" s="490">
        <f t="shared" si="160"/>
        <v>0</v>
      </c>
      <c r="AF891" s="490">
        <f t="shared" si="160"/>
        <v>0</v>
      </c>
      <c r="AG891" s="490"/>
      <c r="AH891" s="193"/>
    </row>
    <row r="892" spans="1:34" x14ac:dyDescent="0.25">
      <c r="A892" s="193"/>
      <c r="B892" s="491"/>
      <c r="C892" s="500"/>
      <c r="D892" s="491"/>
      <c r="E892" s="491"/>
      <c r="F892" s="491"/>
      <c r="G892" s="491"/>
      <c r="H892" s="491"/>
      <c r="I892" s="491"/>
      <c r="J892" s="491"/>
      <c r="K892" s="491"/>
      <c r="L892" s="491"/>
      <c r="M892" s="491"/>
      <c r="N892" s="491"/>
      <c r="O892" s="491"/>
      <c r="P892" s="491"/>
      <c r="Q892" s="491"/>
      <c r="R892" s="213"/>
      <c r="S892" s="215"/>
      <c r="T892" s="216"/>
      <c r="U892" s="214"/>
      <c r="V892" s="491"/>
      <c r="W892" s="491"/>
      <c r="X892" s="491"/>
      <c r="Y892" s="491"/>
      <c r="Z892" s="491"/>
      <c r="AA892" s="491"/>
      <c r="AB892" s="491"/>
      <c r="AC892" s="491"/>
      <c r="AD892" s="491"/>
      <c r="AE892" s="491"/>
      <c r="AF892" s="491"/>
      <c r="AG892" s="491"/>
      <c r="AH892" s="193"/>
    </row>
    <row r="893" spans="1:34" x14ac:dyDescent="0.25">
      <c r="A893" s="193"/>
      <c r="B893" s="491"/>
      <c r="C893" s="500"/>
      <c r="D893" s="491"/>
      <c r="E893" s="491"/>
      <c r="F893" s="491"/>
      <c r="G893" s="491"/>
      <c r="H893" s="491"/>
      <c r="I893" s="491"/>
      <c r="J893" s="491"/>
      <c r="K893" s="491"/>
      <c r="L893" s="491"/>
      <c r="M893" s="491"/>
      <c r="N893" s="491"/>
      <c r="O893" s="491"/>
      <c r="P893" s="491"/>
      <c r="Q893" s="491"/>
      <c r="R893" s="217"/>
      <c r="S893" s="218"/>
      <c r="T893" s="218"/>
      <c r="U893" s="219"/>
      <c r="V893" s="491"/>
      <c r="W893" s="491"/>
      <c r="X893" s="491"/>
      <c r="Y893" s="491"/>
      <c r="Z893" s="491"/>
      <c r="AA893" s="491"/>
      <c r="AB893" s="491"/>
      <c r="AC893" s="491"/>
      <c r="AD893" s="491"/>
      <c r="AE893" s="491"/>
      <c r="AF893" s="491"/>
      <c r="AG893" s="491"/>
      <c r="AH893" s="193"/>
    </row>
    <row r="894" spans="1:34" ht="15.75" thickBot="1" x14ac:dyDescent="0.3">
      <c r="A894" s="193"/>
      <c r="B894" s="491"/>
      <c r="C894" s="500"/>
      <c r="D894" s="491"/>
      <c r="E894" s="491"/>
      <c r="F894" s="491"/>
      <c r="G894" s="491"/>
      <c r="H894" s="491"/>
      <c r="I894" s="491"/>
      <c r="J894" s="491"/>
      <c r="K894" s="491"/>
      <c r="L894" s="491"/>
      <c r="M894" s="491"/>
      <c r="N894" s="491"/>
      <c r="O894" s="491"/>
      <c r="P894" s="491"/>
      <c r="Q894" s="491"/>
      <c r="R894" s="213"/>
      <c r="S894" s="220"/>
      <c r="T894" s="220"/>
      <c r="U894" s="214"/>
      <c r="V894" s="491"/>
      <c r="W894" s="491"/>
      <c r="X894" s="491"/>
      <c r="Y894" s="491"/>
      <c r="Z894" s="491"/>
      <c r="AA894" s="491"/>
      <c r="AB894" s="491"/>
      <c r="AC894" s="491"/>
      <c r="AD894" s="491"/>
      <c r="AE894" s="491"/>
      <c r="AF894" s="491"/>
      <c r="AG894" s="491"/>
      <c r="AH894" s="193"/>
    </row>
    <row r="895" spans="1:34" x14ac:dyDescent="0.25">
      <c r="A895" s="193"/>
      <c r="B895" s="492"/>
      <c r="C895" s="501"/>
      <c r="D895" s="492"/>
      <c r="E895" s="492"/>
      <c r="F895" s="492"/>
      <c r="G895" s="492"/>
      <c r="H895" s="492"/>
      <c r="I895" s="492"/>
      <c r="J895" s="492"/>
      <c r="K895" s="492"/>
      <c r="L895" s="492"/>
      <c r="M895" s="492"/>
      <c r="N895" s="492"/>
      <c r="O895" s="492"/>
      <c r="P895" s="492"/>
      <c r="Q895" s="492"/>
      <c r="R895" s="221"/>
      <c r="S895" s="493">
        <f>L891/12</f>
        <v>6</v>
      </c>
      <c r="T895" s="493"/>
      <c r="U895" s="222"/>
      <c r="V895" s="492"/>
      <c r="W895" s="492"/>
      <c r="X895" s="492"/>
      <c r="Y895" s="492"/>
      <c r="Z895" s="492"/>
      <c r="AA895" s="492"/>
      <c r="AB895" s="492"/>
      <c r="AC895" s="492"/>
      <c r="AD895" s="492"/>
      <c r="AE895" s="492"/>
      <c r="AF895" s="492"/>
      <c r="AG895" s="492"/>
      <c r="AH895" s="193"/>
    </row>
    <row r="896" spans="1:34" x14ac:dyDescent="0.25">
      <c r="A896" s="193"/>
      <c r="B896" s="490"/>
      <c r="C896" s="499" t="s">
        <v>271</v>
      </c>
      <c r="D896" s="490">
        <v>5</v>
      </c>
      <c r="E896" s="490">
        <v>0.625</v>
      </c>
      <c r="F896" s="490"/>
      <c r="G896" s="490"/>
      <c r="H896" s="490"/>
      <c r="I896" s="490">
        <v>2</v>
      </c>
      <c r="J896" s="490">
        <v>2</v>
      </c>
      <c r="K896" s="490">
        <v>30</v>
      </c>
      <c r="L896" s="490">
        <v>30</v>
      </c>
      <c r="M896" s="490"/>
      <c r="N896" s="490"/>
      <c r="O896" s="490"/>
      <c r="P896" s="490"/>
      <c r="Q896" s="490"/>
      <c r="R896" s="213"/>
      <c r="S896" s="498"/>
      <c r="T896" s="498"/>
      <c r="U896" s="214"/>
      <c r="V896" s="490">
        <f>SUM(R896:U900)</f>
        <v>5</v>
      </c>
      <c r="W896" s="490">
        <f>+SUM(K896:Q900)</f>
        <v>60</v>
      </c>
      <c r="X896" s="490">
        <f>(+I896*J896*W896)/12</f>
        <v>20</v>
      </c>
      <c r="Y896" s="490">
        <f t="shared" ref="Y896:AF896" si="161">IF(Y$4=$D896,$X896*Y$5,0)</f>
        <v>0</v>
      </c>
      <c r="Z896" s="490">
        <f t="shared" si="161"/>
        <v>0</v>
      </c>
      <c r="AA896" s="490">
        <f t="shared" si="161"/>
        <v>20.86</v>
      </c>
      <c r="AB896" s="490">
        <f t="shared" si="161"/>
        <v>0</v>
      </c>
      <c r="AC896" s="490">
        <f t="shared" si="161"/>
        <v>0</v>
      </c>
      <c r="AD896" s="490">
        <f t="shared" si="161"/>
        <v>0</v>
      </c>
      <c r="AE896" s="490">
        <f t="shared" si="161"/>
        <v>0</v>
      </c>
      <c r="AF896" s="490">
        <f t="shared" si="161"/>
        <v>0</v>
      </c>
      <c r="AG896" s="490"/>
      <c r="AH896" s="193"/>
    </row>
    <row r="897" spans="1:34" x14ac:dyDescent="0.25">
      <c r="A897" s="193"/>
      <c r="B897" s="491"/>
      <c r="C897" s="500"/>
      <c r="D897" s="491"/>
      <c r="E897" s="491"/>
      <c r="F897" s="491"/>
      <c r="G897" s="491"/>
      <c r="H897" s="491"/>
      <c r="I897" s="491"/>
      <c r="J897" s="491"/>
      <c r="K897" s="491"/>
      <c r="L897" s="491"/>
      <c r="M897" s="491"/>
      <c r="N897" s="491"/>
      <c r="O897" s="491"/>
      <c r="P897" s="491"/>
      <c r="Q897" s="491"/>
      <c r="R897" s="213"/>
      <c r="S897" s="215"/>
      <c r="T897" s="216"/>
      <c r="U897" s="214"/>
      <c r="V897" s="491"/>
      <c r="W897" s="491"/>
      <c r="X897" s="491"/>
      <c r="Y897" s="491"/>
      <c r="Z897" s="491"/>
      <c r="AA897" s="491"/>
      <c r="AB897" s="491"/>
      <c r="AC897" s="491"/>
      <c r="AD897" s="491"/>
      <c r="AE897" s="491"/>
      <c r="AF897" s="491"/>
      <c r="AG897" s="491"/>
      <c r="AH897" s="193"/>
    </row>
    <row r="898" spans="1:34" x14ac:dyDescent="0.25">
      <c r="A898" s="193"/>
      <c r="B898" s="491"/>
      <c r="C898" s="500"/>
      <c r="D898" s="491"/>
      <c r="E898" s="491"/>
      <c r="F898" s="491"/>
      <c r="G898" s="491"/>
      <c r="H898" s="491"/>
      <c r="I898" s="491"/>
      <c r="J898" s="491"/>
      <c r="K898" s="491"/>
      <c r="L898" s="491"/>
      <c r="M898" s="491"/>
      <c r="N898" s="491"/>
      <c r="O898" s="491"/>
      <c r="P898" s="491"/>
      <c r="Q898" s="491"/>
      <c r="R898" s="217">
        <f>K896/12</f>
        <v>2.5</v>
      </c>
      <c r="S898" s="223"/>
      <c r="T898" s="195"/>
      <c r="U898" s="219"/>
      <c r="V898" s="491"/>
      <c r="W898" s="491"/>
      <c r="X898" s="491"/>
      <c r="Y898" s="491"/>
      <c r="Z898" s="491"/>
      <c r="AA898" s="491"/>
      <c r="AB898" s="491"/>
      <c r="AC898" s="491"/>
      <c r="AD898" s="491"/>
      <c r="AE898" s="491"/>
      <c r="AF898" s="491"/>
      <c r="AG898" s="491"/>
      <c r="AH898" s="193"/>
    </row>
    <row r="899" spans="1:34" ht="15.75" thickBot="1" x14ac:dyDescent="0.3">
      <c r="A899" s="193"/>
      <c r="B899" s="491"/>
      <c r="C899" s="500"/>
      <c r="D899" s="491"/>
      <c r="E899" s="491"/>
      <c r="F899" s="491"/>
      <c r="G899" s="491"/>
      <c r="H899" s="491"/>
      <c r="I899" s="491"/>
      <c r="J899" s="491"/>
      <c r="K899" s="491"/>
      <c r="L899" s="491"/>
      <c r="M899" s="491"/>
      <c r="N899" s="491"/>
      <c r="O899" s="491"/>
      <c r="P899" s="491"/>
      <c r="Q899" s="491"/>
      <c r="R899" s="213"/>
      <c r="S899" s="224"/>
      <c r="T899" s="220"/>
      <c r="U899" s="214"/>
      <c r="V899" s="491"/>
      <c r="W899" s="491"/>
      <c r="X899" s="491"/>
      <c r="Y899" s="491"/>
      <c r="Z899" s="491"/>
      <c r="AA899" s="491"/>
      <c r="AB899" s="491"/>
      <c r="AC899" s="491"/>
      <c r="AD899" s="491"/>
      <c r="AE899" s="491"/>
      <c r="AF899" s="491"/>
      <c r="AG899" s="491"/>
      <c r="AH899" s="193"/>
    </row>
    <row r="900" spans="1:34" x14ac:dyDescent="0.25">
      <c r="A900" s="193"/>
      <c r="B900" s="492"/>
      <c r="C900" s="501"/>
      <c r="D900" s="492"/>
      <c r="E900" s="492"/>
      <c r="F900" s="492"/>
      <c r="G900" s="492"/>
      <c r="H900" s="492"/>
      <c r="I900" s="492"/>
      <c r="J900" s="492"/>
      <c r="K900" s="492"/>
      <c r="L900" s="492"/>
      <c r="M900" s="492"/>
      <c r="N900" s="492"/>
      <c r="O900" s="492"/>
      <c r="P900" s="492"/>
      <c r="Q900" s="492"/>
      <c r="R900" s="221"/>
      <c r="S900" s="493">
        <f>L896/12</f>
        <v>2.5</v>
      </c>
      <c r="T900" s="493"/>
      <c r="U900" s="222"/>
      <c r="V900" s="492"/>
      <c r="W900" s="492"/>
      <c r="X900" s="492"/>
      <c r="Y900" s="492"/>
      <c r="Z900" s="492"/>
      <c r="AA900" s="492"/>
      <c r="AB900" s="492"/>
      <c r="AC900" s="492"/>
      <c r="AD900" s="492"/>
      <c r="AE900" s="492"/>
      <c r="AF900" s="492"/>
      <c r="AG900" s="492"/>
      <c r="AH900" s="193"/>
    </row>
    <row r="901" spans="1:34" x14ac:dyDescent="0.25">
      <c r="A901" s="193"/>
      <c r="B901" s="490"/>
      <c r="C901" s="490" t="s">
        <v>277</v>
      </c>
      <c r="D901" s="490">
        <v>5</v>
      </c>
      <c r="E901" s="490">
        <v>0.625</v>
      </c>
      <c r="F901" s="494">
        <v>16</v>
      </c>
      <c r="G901" s="229"/>
      <c r="H901" s="490"/>
      <c r="I901" s="490">
        <f>ROUNDUP(G891/F901,0)</f>
        <v>5</v>
      </c>
      <c r="J901" s="490">
        <v>1</v>
      </c>
      <c r="K901" s="490">
        <v>6</v>
      </c>
      <c r="L901" s="490">
        <f>4*12-2</f>
        <v>46</v>
      </c>
      <c r="M901" s="490">
        <f>11*12</f>
        <v>132</v>
      </c>
      <c r="N901" s="490"/>
      <c r="O901" s="490"/>
      <c r="P901" s="490"/>
      <c r="Q901" s="490"/>
      <c r="R901" s="213"/>
      <c r="S901" s="498"/>
      <c r="T901" s="498"/>
      <c r="U901" s="214"/>
      <c r="V901" s="490">
        <f>SUM(R901:U905)</f>
        <v>15.333333333333334</v>
      </c>
      <c r="W901" s="490">
        <f>+SUM(K901:Q905)</f>
        <v>184</v>
      </c>
      <c r="X901" s="490">
        <f>(+I901*J901*W901)/12</f>
        <v>76.666666666666671</v>
      </c>
      <c r="Y901" s="490">
        <f t="shared" ref="Y901:AF901" si="162">IF(Y$4=$D901,$X901*Y$5,0)</f>
        <v>0</v>
      </c>
      <c r="Z901" s="490">
        <f t="shared" si="162"/>
        <v>0</v>
      </c>
      <c r="AA901" s="490">
        <f t="shared" si="162"/>
        <v>79.963333333333338</v>
      </c>
      <c r="AB901" s="490">
        <f t="shared" si="162"/>
        <v>0</v>
      </c>
      <c r="AC901" s="490">
        <f t="shared" si="162"/>
        <v>0</v>
      </c>
      <c r="AD901" s="490">
        <f t="shared" si="162"/>
        <v>0</v>
      </c>
      <c r="AE901" s="490">
        <f t="shared" si="162"/>
        <v>0</v>
      </c>
      <c r="AF901" s="490">
        <f t="shared" si="162"/>
        <v>0</v>
      </c>
      <c r="AG901" s="490"/>
      <c r="AH901" s="193"/>
    </row>
    <row r="902" spans="1:34" x14ac:dyDescent="0.25">
      <c r="A902" s="193"/>
      <c r="B902" s="491"/>
      <c r="C902" s="491"/>
      <c r="D902" s="491"/>
      <c r="E902" s="491"/>
      <c r="F902" s="495"/>
      <c r="G902" s="230"/>
      <c r="H902" s="491"/>
      <c r="I902" s="491"/>
      <c r="J902" s="491"/>
      <c r="K902" s="491"/>
      <c r="L902" s="491"/>
      <c r="M902" s="491"/>
      <c r="N902" s="491"/>
      <c r="O902" s="491"/>
      <c r="P902" s="491"/>
      <c r="Q902" s="491"/>
      <c r="R902" s="213"/>
      <c r="S902" s="215"/>
      <c r="T902" s="216"/>
      <c r="U902" s="214"/>
      <c r="V902" s="491"/>
      <c r="W902" s="491"/>
      <c r="X902" s="491"/>
      <c r="Y902" s="491"/>
      <c r="Z902" s="491"/>
      <c r="AA902" s="491"/>
      <c r="AB902" s="491"/>
      <c r="AC902" s="491"/>
      <c r="AD902" s="491"/>
      <c r="AE902" s="491"/>
      <c r="AF902" s="491"/>
      <c r="AG902" s="491"/>
      <c r="AH902" s="193"/>
    </row>
    <row r="903" spans="1:34" x14ac:dyDescent="0.25">
      <c r="A903" s="193"/>
      <c r="B903" s="491"/>
      <c r="C903" s="491"/>
      <c r="D903" s="491"/>
      <c r="E903" s="491"/>
      <c r="F903" s="495"/>
      <c r="G903" s="230"/>
      <c r="H903" s="491"/>
      <c r="I903" s="491"/>
      <c r="J903" s="491"/>
      <c r="K903" s="491"/>
      <c r="L903" s="491"/>
      <c r="M903" s="491"/>
      <c r="N903" s="491"/>
      <c r="O903" s="491"/>
      <c r="P903" s="491"/>
      <c r="Q903" s="491"/>
      <c r="R903" s="225">
        <f>K901/12</f>
        <v>0.5</v>
      </c>
      <c r="S903" s="218"/>
      <c r="T903" s="218"/>
      <c r="U903" s="219"/>
      <c r="V903" s="491"/>
      <c r="W903" s="491"/>
      <c r="X903" s="491"/>
      <c r="Y903" s="491"/>
      <c r="Z903" s="491"/>
      <c r="AA903" s="491"/>
      <c r="AB903" s="491"/>
      <c r="AC903" s="491"/>
      <c r="AD903" s="491"/>
      <c r="AE903" s="491"/>
      <c r="AF903" s="491"/>
      <c r="AG903" s="491"/>
      <c r="AH903" s="193"/>
    </row>
    <row r="904" spans="1:34" ht="15.75" thickBot="1" x14ac:dyDescent="0.3">
      <c r="A904" s="193"/>
      <c r="B904" s="491"/>
      <c r="C904" s="491"/>
      <c r="D904" s="491"/>
      <c r="E904" s="491"/>
      <c r="F904" s="495"/>
      <c r="G904" s="230"/>
      <c r="H904" s="491"/>
      <c r="I904" s="491"/>
      <c r="J904" s="491"/>
      <c r="K904" s="491"/>
      <c r="L904" s="491"/>
      <c r="M904" s="491"/>
      <c r="N904" s="491"/>
      <c r="O904" s="491"/>
      <c r="P904" s="491"/>
      <c r="Q904" s="491"/>
      <c r="R904" s="226"/>
      <c r="S904" s="220"/>
      <c r="T904" s="220"/>
      <c r="U904" s="214"/>
      <c r="V904" s="491"/>
      <c r="W904" s="491"/>
      <c r="X904" s="491"/>
      <c r="Y904" s="491"/>
      <c r="Z904" s="491"/>
      <c r="AA904" s="491"/>
      <c r="AB904" s="491"/>
      <c r="AC904" s="491"/>
      <c r="AD904" s="491"/>
      <c r="AE904" s="491"/>
      <c r="AF904" s="491"/>
      <c r="AG904" s="491"/>
      <c r="AH904" s="193"/>
    </row>
    <row r="905" spans="1:34" x14ac:dyDescent="0.25">
      <c r="A905" s="193"/>
      <c r="B905" s="492"/>
      <c r="C905" s="492"/>
      <c r="D905" s="491"/>
      <c r="E905" s="491"/>
      <c r="F905" s="496"/>
      <c r="G905" s="231"/>
      <c r="H905" s="492"/>
      <c r="I905" s="492"/>
      <c r="J905" s="492"/>
      <c r="K905" s="492"/>
      <c r="L905" s="492"/>
      <c r="M905" s="492"/>
      <c r="N905" s="492"/>
      <c r="O905" s="492"/>
      <c r="P905" s="492"/>
      <c r="Q905" s="492"/>
      <c r="R905" s="221"/>
      <c r="S905" s="493">
        <f>+SUM(L901:M905)/12</f>
        <v>14.833333333333334</v>
      </c>
      <c r="T905" s="493"/>
      <c r="U905" s="222"/>
      <c r="V905" s="492"/>
      <c r="W905" s="492"/>
      <c r="X905" s="492"/>
      <c r="Y905" s="492"/>
      <c r="Z905" s="492"/>
      <c r="AA905" s="492"/>
      <c r="AB905" s="492"/>
      <c r="AC905" s="492"/>
      <c r="AD905" s="492"/>
      <c r="AE905" s="492"/>
      <c r="AF905" s="492"/>
      <c r="AG905" s="492"/>
      <c r="AH905" s="193"/>
    </row>
    <row r="906" spans="1:34" x14ac:dyDescent="0.25">
      <c r="A906" s="193"/>
      <c r="B906" s="490"/>
      <c r="C906" s="490" t="s">
        <v>286</v>
      </c>
      <c r="D906" s="490">
        <v>5</v>
      </c>
      <c r="E906" s="490">
        <v>0.625</v>
      </c>
      <c r="F906" s="494">
        <v>16</v>
      </c>
      <c r="G906" s="229"/>
      <c r="H906" s="490"/>
      <c r="I906" s="490">
        <f>ROUNDUP(M901/F906,0)</f>
        <v>9</v>
      </c>
      <c r="J906" s="490">
        <v>1</v>
      </c>
      <c r="K906" s="490"/>
      <c r="L906" s="490">
        <f>G889-2-2</f>
        <v>72</v>
      </c>
      <c r="M906" s="490"/>
      <c r="N906" s="490"/>
      <c r="O906" s="490"/>
      <c r="P906" s="490"/>
      <c r="Q906" s="490"/>
      <c r="R906" s="213"/>
      <c r="S906" s="498"/>
      <c r="T906" s="498"/>
      <c r="U906" s="214"/>
      <c r="V906" s="490">
        <f>SUM(R906:U910)</f>
        <v>6</v>
      </c>
      <c r="W906" s="490">
        <f>+SUM(K906:Q910)</f>
        <v>72</v>
      </c>
      <c r="X906" s="490">
        <f>(+I906*J906*W906)/12</f>
        <v>54</v>
      </c>
      <c r="Y906" s="490">
        <f t="shared" ref="Y906:AF906" si="163">IF(Y$4=$D906,$X906*Y$5,0)</f>
        <v>0</v>
      </c>
      <c r="Z906" s="490">
        <f t="shared" si="163"/>
        <v>0</v>
      </c>
      <c r="AA906" s="490">
        <f t="shared" si="163"/>
        <v>56.321999999999996</v>
      </c>
      <c r="AB906" s="490">
        <f t="shared" si="163"/>
        <v>0</v>
      </c>
      <c r="AC906" s="490">
        <f t="shared" si="163"/>
        <v>0</v>
      </c>
      <c r="AD906" s="490">
        <f t="shared" si="163"/>
        <v>0</v>
      </c>
      <c r="AE906" s="490">
        <f t="shared" si="163"/>
        <v>0</v>
      </c>
      <c r="AF906" s="490">
        <f t="shared" si="163"/>
        <v>0</v>
      </c>
      <c r="AG906" s="490"/>
      <c r="AH906" s="193"/>
    </row>
    <row r="907" spans="1:34" x14ac:dyDescent="0.25">
      <c r="A907" s="193"/>
      <c r="B907" s="491"/>
      <c r="C907" s="491"/>
      <c r="D907" s="491"/>
      <c r="E907" s="491"/>
      <c r="F907" s="495"/>
      <c r="G907" s="230"/>
      <c r="H907" s="491"/>
      <c r="I907" s="491"/>
      <c r="J907" s="491"/>
      <c r="K907" s="491"/>
      <c r="L907" s="491"/>
      <c r="M907" s="491"/>
      <c r="N907" s="491"/>
      <c r="O907" s="491"/>
      <c r="P907" s="491"/>
      <c r="Q907" s="491"/>
      <c r="R907" s="213"/>
      <c r="S907" s="215"/>
      <c r="T907" s="216"/>
      <c r="U907" s="214"/>
      <c r="V907" s="491"/>
      <c r="W907" s="491"/>
      <c r="X907" s="491"/>
      <c r="Y907" s="491"/>
      <c r="Z907" s="491"/>
      <c r="AA907" s="491"/>
      <c r="AB907" s="491"/>
      <c r="AC907" s="491"/>
      <c r="AD907" s="491"/>
      <c r="AE907" s="491"/>
      <c r="AF907" s="491"/>
      <c r="AG907" s="491"/>
      <c r="AH907" s="193"/>
    </row>
    <row r="908" spans="1:34" x14ac:dyDescent="0.25">
      <c r="A908" s="193"/>
      <c r="B908" s="491"/>
      <c r="C908" s="491"/>
      <c r="D908" s="491"/>
      <c r="E908" s="491"/>
      <c r="F908" s="495"/>
      <c r="G908" s="230"/>
      <c r="H908" s="491"/>
      <c r="I908" s="491"/>
      <c r="J908" s="491"/>
      <c r="K908" s="491"/>
      <c r="L908" s="491"/>
      <c r="M908" s="491"/>
      <c r="N908" s="491"/>
      <c r="O908" s="491"/>
      <c r="P908" s="491"/>
      <c r="Q908" s="497"/>
      <c r="R908" s="217"/>
      <c r="S908" s="218"/>
      <c r="T908" s="218"/>
      <c r="U908" s="219"/>
      <c r="V908" s="491"/>
      <c r="W908" s="491"/>
      <c r="X908" s="491"/>
      <c r="Y908" s="491"/>
      <c r="Z908" s="491"/>
      <c r="AA908" s="491"/>
      <c r="AB908" s="491"/>
      <c r="AC908" s="491"/>
      <c r="AD908" s="491"/>
      <c r="AE908" s="491"/>
      <c r="AF908" s="491"/>
      <c r="AG908" s="491"/>
      <c r="AH908" s="193"/>
    </row>
    <row r="909" spans="1:34" ht="15.75" thickBot="1" x14ac:dyDescent="0.3">
      <c r="A909" s="193"/>
      <c r="B909" s="491"/>
      <c r="C909" s="491"/>
      <c r="D909" s="491"/>
      <c r="E909" s="491"/>
      <c r="F909" s="495"/>
      <c r="G909" s="230"/>
      <c r="H909" s="491"/>
      <c r="I909" s="491"/>
      <c r="J909" s="491"/>
      <c r="K909" s="491"/>
      <c r="L909" s="491"/>
      <c r="M909" s="491"/>
      <c r="N909" s="491"/>
      <c r="O909" s="491"/>
      <c r="P909" s="491"/>
      <c r="Q909" s="497"/>
      <c r="R909" s="213"/>
      <c r="S909" s="220"/>
      <c r="T909" s="220"/>
      <c r="U909" s="214"/>
      <c r="V909" s="491"/>
      <c r="W909" s="491"/>
      <c r="X909" s="491"/>
      <c r="Y909" s="491"/>
      <c r="Z909" s="491"/>
      <c r="AA909" s="491"/>
      <c r="AB909" s="491"/>
      <c r="AC909" s="491"/>
      <c r="AD909" s="491"/>
      <c r="AE909" s="491"/>
      <c r="AF909" s="491"/>
      <c r="AG909" s="491"/>
      <c r="AH909" s="193"/>
    </row>
    <row r="910" spans="1:34" x14ac:dyDescent="0.25">
      <c r="A910" s="193"/>
      <c r="B910" s="492"/>
      <c r="C910" s="492"/>
      <c r="D910" s="492"/>
      <c r="E910" s="492"/>
      <c r="F910" s="496"/>
      <c r="G910" s="231"/>
      <c r="H910" s="492"/>
      <c r="I910" s="492"/>
      <c r="J910" s="492"/>
      <c r="K910" s="492"/>
      <c r="L910" s="492"/>
      <c r="M910" s="492"/>
      <c r="N910" s="492"/>
      <c r="O910" s="492"/>
      <c r="P910" s="492"/>
      <c r="Q910" s="492"/>
      <c r="R910" s="221"/>
      <c r="S910" s="493">
        <f>L906/12</f>
        <v>6</v>
      </c>
      <c r="T910" s="493"/>
      <c r="U910" s="222"/>
      <c r="V910" s="492"/>
      <c r="W910" s="492"/>
      <c r="X910" s="492"/>
      <c r="Y910" s="492"/>
      <c r="Z910" s="492"/>
      <c r="AA910" s="492"/>
      <c r="AB910" s="492"/>
      <c r="AC910" s="492"/>
      <c r="AD910" s="492"/>
      <c r="AE910" s="492"/>
      <c r="AF910" s="492"/>
      <c r="AG910" s="492"/>
      <c r="AH910" s="193"/>
    </row>
    <row r="911" spans="1:34" ht="15.75" thickBot="1" x14ac:dyDescent="0.3">
      <c r="A911" s="195"/>
      <c r="B911" s="200" t="s">
        <v>279</v>
      </c>
      <c r="C911" s="199" t="s">
        <v>379</v>
      </c>
      <c r="D911" s="197">
        <v>60</v>
      </c>
      <c r="E911" s="201">
        <v>8</v>
      </c>
      <c r="F911" s="202"/>
      <c r="G911" s="202">
        <f>(9*12)+7</f>
        <v>115</v>
      </c>
      <c r="H911" s="202">
        <v>16</v>
      </c>
      <c r="I911" s="202">
        <v>12</v>
      </c>
      <c r="J911" s="202">
        <v>12</v>
      </c>
      <c r="K911" s="199"/>
      <c r="L911" s="199"/>
      <c r="M911" s="199"/>
      <c r="N911" s="199"/>
      <c r="O911" s="199"/>
      <c r="P911" s="199"/>
      <c r="Q911" s="198"/>
      <c r="R911" s="196"/>
      <c r="S911" s="196"/>
      <c r="T911" s="196"/>
      <c r="U911" s="196"/>
      <c r="V911" s="203"/>
      <c r="W911" s="202"/>
      <c r="X911" s="202"/>
      <c r="Y911" s="199"/>
      <c r="Z911" s="199"/>
      <c r="AA911" s="199"/>
      <c r="AB911" s="199"/>
      <c r="AC911" s="199"/>
      <c r="AD911" s="199"/>
      <c r="AE911" s="199"/>
      <c r="AF911" s="199"/>
      <c r="AG911" s="199"/>
      <c r="AH911" s="195"/>
    </row>
    <row r="912" spans="1:34" ht="15.75" thickBot="1" x14ac:dyDescent="0.3">
      <c r="A912" s="193"/>
      <c r="B912" s="204"/>
      <c r="C912" s="205"/>
      <c r="D912" s="194"/>
      <c r="E912" s="206"/>
      <c r="F912" s="205"/>
      <c r="G912" s="205"/>
      <c r="H912" s="207">
        <v>3</v>
      </c>
      <c r="I912" s="207">
        <v>2</v>
      </c>
      <c r="J912" s="205"/>
      <c r="K912" s="205"/>
      <c r="L912" s="205"/>
      <c r="M912" s="205"/>
      <c r="N912" s="205"/>
      <c r="O912" s="205"/>
      <c r="P912" s="205"/>
      <c r="Q912" s="208"/>
      <c r="R912" s="209"/>
      <c r="S912" s="210"/>
      <c r="T912" s="210"/>
      <c r="U912" s="211"/>
      <c r="V912" s="212"/>
      <c r="W912" s="204"/>
      <c r="X912" s="204"/>
      <c r="Y912" s="205"/>
      <c r="Z912" s="205"/>
      <c r="AA912" s="205"/>
      <c r="AB912" s="205"/>
      <c r="AC912" s="205"/>
      <c r="AD912" s="205"/>
      <c r="AE912" s="205"/>
      <c r="AF912" s="205"/>
      <c r="AG912" s="205"/>
      <c r="AH912" s="193"/>
    </row>
    <row r="913" spans="1:34" x14ac:dyDescent="0.25">
      <c r="A913" s="193"/>
      <c r="B913" s="490"/>
      <c r="C913" s="499" t="s">
        <v>265</v>
      </c>
      <c r="D913" s="490">
        <v>5</v>
      </c>
      <c r="E913" s="490">
        <v>0.625</v>
      </c>
      <c r="F913" s="490"/>
      <c r="G913" s="490">
        <f>G911</f>
        <v>115</v>
      </c>
      <c r="H913" s="490"/>
      <c r="I913" s="490">
        <v>2</v>
      </c>
      <c r="J913" s="490">
        <v>1</v>
      </c>
      <c r="K913" s="490"/>
      <c r="L913" s="490">
        <f>G911-2-2</f>
        <v>111</v>
      </c>
      <c r="M913" s="490"/>
      <c r="N913" s="490"/>
      <c r="O913" s="490"/>
      <c r="P913" s="490"/>
      <c r="Q913" s="490"/>
      <c r="R913" s="213"/>
      <c r="S913" s="502"/>
      <c r="T913" s="502"/>
      <c r="U913" s="214"/>
      <c r="V913" s="490">
        <f>SUM(R913:U917)</f>
        <v>9.25</v>
      </c>
      <c r="W913" s="490">
        <f>+SUM(K913:Q917)</f>
        <v>111</v>
      </c>
      <c r="X913" s="490">
        <f>(+I913*J913*W913)/12</f>
        <v>18.5</v>
      </c>
      <c r="Y913" s="490">
        <f>IF(Y$4=$D913,$X913*Y$5,0)</f>
        <v>0</v>
      </c>
      <c r="Z913" s="490">
        <f t="shared" ref="Z913:AF913" si="164">IF(Z$4=$D913,$X913*Z$5,0)</f>
        <v>0</v>
      </c>
      <c r="AA913" s="490">
        <f t="shared" si="164"/>
        <v>19.295499999999997</v>
      </c>
      <c r="AB913" s="490">
        <f t="shared" si="164"/>
        <v>0</v>
      </c>
      <c r="AC913" s="490">
        <f t="shared" si="164"/>
        <v>0</v>
      </c>
      <c r="AD913" s="490">
        <f t="shared" si="164"/>
        <v>0</v>
      </c>
      <c r="AE913" s="490">
        <f t="shared" si="164"/>
        <v>0</v>
      </c>
      <c r="AF913" s="490">
        <f t="shared" si="164"/>
        <v>0</v>
      </c>
      <c r="AG913" s="490"/>
      <c r="AH913" s="193"/>
    </row>
    <row r="914" spans="1:34" x14ac:dyDescent="0.25">
      <c r="A914" s="193"/>
      <c r="B914" s="491"/>
      <c r="C914" s="500"/>
      <c r="D914" s="491"/>
      <c r="E914" s="491"/>
      <c r="F914" s="491"/>
      <c r="G914" s="491"/>
      <c r="H914" s="491"/>
      <c r="I914" s="491"/>
      <c r="J914" s="491"/>
      <c r="K914" s="491"/>
      <c r="L914" s="491"/>
      <c r="M914" s="491"/>
      <c r="N914" s="491"/>
      <c r="O914" s="491"/>
      <c r="P914" s="491"/>
      <c r="Q914" s="491"/>
      <c r="R914" s="213"/>
      <c r="S914" s="215"/>
      <c r="T914" s="216"/>
      <c r="U914" s="214"/>
      <c r="V914" s="491"/>
      <c r="W914" s="491"/>
      <c r="X914" s="491"/>
      <c r="Y914" s="491"/>
      <c r="Z914" s="491"/>
      <c r="AA914" s="491"/>
      <c r="AB914" s="491"/>
      <c r="AC914" s="491"/>
      <c r="AD914" s="491"/>
      <c r="AE914" s="491"/>
      <c r="AF914" s="491"/>
      <c r="AG914" s="491"/>
      <c r="AH914" s="193"/>
    </row>
    <row r="915" spans="1:34" x14ac:dyDescent="0.25">
      <c r="A915" s="193"/>
      <c r="B915" s="491"/>
      <c r="C915" s="500"/>
      <c r="D915" s="491"/>
      <c r="E915" s="491"/>
      <c r="F915" s="491"/>
      <c r="G915" s="491"/>
      <c r="H915" s="491"/>
      <c r="I915" s="491"/>
      <c r="J915" s="491"/>
      <c r="K915" s="491"/>
      <c r="L915" s="491"/>
      <c r="M915" s="491"/>
      <c r="N915" s="491"/>
      <c r="O915" s="491"/>
      <c r="P915" s="491"/>
      <c r="Q915" s="491"/>
      <c r="R915" s="217"/>
      <c r="S915" s="218"/>
      <c r="T915" s="218"/>
      <c r="U915" s="219"/>
      <c r="V915" s="491"/>
      <c r="W915" s="491"/>
      <c r="X915" s="491"/>
      <c r="Y915" s="491"/>
      <c r="Z915" s="491"/>
      <c r="AA915" s="491"/>
      <c r="AB915" s="491"/>
      <c r="AC915" s="491"/>
      <c r="AD915" s="491"/>
      <c r="AE915" s="491"/>
      <c r="AF915" s="491"/>
      <c r="AG915" s="491"/>
      <c r="AH915" s="193"/>
    </row>
    <row r="916" spans="1:34" ht="15.75" thickBot="1" x14ac:dyDescent="0.3">
      <c r="A916" s="193"/>
      <c r="B916" s="491"/>
      <c r="C916" s="500"/>
      <c r="D916" s="491"/>
      <c r="E916" s="491"/>
      <c r="F916" s="491"/>
      <c r="G916" s="491"/>
      <c r="H916" s="491"/>
      <c r="I916" s="491"/>
      <c r="J916" s="491"/>
      <c r="K916" s="491"/>
      <c r="L916" s="491"/>
      <c r="M916" s="491"/>
      <c r="N916" s="491"/>
      <c r="O916" s="491"/>
      <c r="P916" s="491"/>
      <c r="Q916" s="491"/>
      <c r="R916" s="213"/>
      <c r="S916" s="220"/>
      <c r="T916" s="220"/>
      <c r="U916" s="214"/>
      <c r="V916" s="491"/>
      <c r="W916" s="491"/>
      <c r="X916" s="491"/>
      <c r="Y916" s="491"/>
      <c r="Z916" s="491"/>
      <c r="AA916" s="491"/>
      <c r="AB916" s="491"/>
      <c r="AC916" s="491"/>
      <c r="AD916" s="491"/>
      <c r="AE916" s="491"/>
      <c r="AF916" s="491"/>
      <c r="AG916" s="491"/>
      <c r="AH916" s="193"/>
    </row>
    <row r="917" spans="1:34" x14ac:dyDescent="0.25">
      <c r="A917" s="193"/>
      <c r="B917" s="492"/>
      <c r="C917" s="501"/>
      <c r="D917" s="492"/>
      <c r="E917" s="492"/>
      <c r="F917" s="492"/>
      <c r="G917" s="492"/>
      <c r="H917" s="492"/>
      <c r="I917" s="492"/>
      <c r="J917" s="492"/>
      <c r="K917" s="492"/>
      <c r="L917" s="492"/>
      <c r="M917" s="492"/>
      <c r="N917" s="492"/>
      <c r="O917" s="492"/>
      <c r="P917" s="492"/>
      <c r="Q917" s="492"/>
      <c r="R917" s="221"/>
      <c r="S917" s="493">
        <f>L913/12</f>
        <v>9.25</v>
      </c>
      <c r="T917" s="493"/>
      <c r="U917" s="222"/>
      <c r="V917" s="492"/>
      <c r="W917" s="492"/>
      <c r="X917" s="492"/>
      <c r="Y917" s="492"/>
      <c r="Z917" s="492"/>
      <c r="AA917" s="492"/>
      <c r="AB917" s="492"/>
      <c r="AC917" s="492"/>
      <c r="AD917" s="492"/>
      <c r="AE917" s="492"/>
      <c r="AF917" s="492"/>
      <c r="AG917" s="492"/>
      <c r="AH917" s="193"/>
    </row>
    <row r="918" spans="1:34" x14ac:dyDescent="0.25">
      <c r="A918" s="193"/>
      <c r="B918" s="490"/>
      <c r="C918" s="499" t="s">
        <v>271</v>
      </c>
      <c r="D918" s="490">
        <v>5</v>
      </c>
      <c r="E918" s="490">
        <v>0.625</v>
      </c>
      <c r="F918" s="490"/>
      <c r="G918" s="490"/>
      <c r="H918" s="490"/>
      <c r="I918" s="490">
        <v>2</v>
      </c>
      <c r="J918" s="490">
        <v>2</v>
      </c>
      <c r="K918" s="490">
        <v>30</v>
      </c>
      <c r="L918" s="490">
        <v>30</v>
      </c>
      <c r="M918" s="490"/>
      <c r="N918" s="490"/>
      <c r="O918" s="490"/>
      <c r="P918" s="490"/>
      <c r="Q918" s="490"/>
      <c r="R918" s="213"/>
      <c r="S918" s="498"/>
      <c r="T918" s="498"/>
      <c r="U918" s="214"/>
      <c r="V918" s="490">
        <f>SUM(R918:U922)</f>
        <v>5</v>
      </c>
      <c r="W918" s="490">
        <f>+SUM(K918:Q922)</f>
        <v>60</v>
      </c>
      <c r="X918" s="490">
        <f>(+I918*J918*W918)/12</f>
        <v>20</v>
      </c>
      <c r="Y918" s="490">
        <f t="shared" ref="Y918:AF918" si="165">IF(Y$4=$D918,$X918*Y$5,0)</f>
        <v>0</v>
      </c>
      <c r="Z918" s="490">
        <f t="shared" si="165"/>
        <v>0</v>
      </c>
      <c r="AA918" s="490">
        <f t="shared" si="165"/>
        <v>20.86</v>
      </c>
      <c r="AB918" s="490">
        <f t="shared" si="165"/>
        <v>0</v>
      </c>
      <c r="AC918" s="490">
        <f t="shared" si="165"/>
        <v>0</v>
      </c>
      <c r="AD918" s="490">
        <f t="shared" si="165"/>
        <v>0</v>
      </c>
      <c r="AE918" s="490">
        <f t="shared" si="165"/>
        <v>0</v>
      </c>
      <c r="AF918" s="490">
        <f t="shared" si="165"/>
        <v>0</v>
      </c>
      <c r="AG918" s="490"/>
      <c r="AH918" s="193"/>
    </row>
    <row r="919" spans="1:34" x14ac:dyDescent="0.25">
      <c r="A919" s="193"/>
      <c r="B919" s="491"/>
      <c r="C919" s="500"/>
      <c r="D919" s="491"/>
      <c r="E919" s="491"/>
      <c r="F919" s="491"/>
      <c r="G919" s="491"/>
      <c r="H919" s="491"/>
      <c r="I919" s="491"/>
      <c r="J919" s="491"/>
      <c r="K919" s="491"/>
      <c r="L919" s="491"/>
      <c r="M919" s="491"/>
      <c r="N919" s="491"/>
      <c r="O919" s="491"/>
      <c r="P919" s="491"/>
      <c r="Q919" s="491"/>
      <c r="R919" s="213"/>
      <c r="S919" s="215"/>
      <c r="T919" s="216"/>
      <c r="U919" s="214"/>
      <c r="V919" s="491"/>
      <c r="W919" s="491"/>
      <c r="X919" s="491"/>
      <c r="Y919" s="491"/>
      <c r="Z919" s="491"/>
      <c r="AA919" s="491"/>
      <c r="AB919" s="491"/>
      <c r="AC919" s="491"/>
      <c r="AD919" s="491"/>
      <c r="AE919" s="491"/>
      <c r="AF919" s="491"/>
      <c r="AG919" s="491"/>
      <c r="AH919" s="193"/>
    </row>
    <row r="920" spans="1:34" x14ac:dyDescent="0.25">
      <c r="A920" s="193"/>
      <c r="B920" s="491"/>
      <c r="C920" s="500"/>
      <c r="D920" s="491"/>
      <c r="E920" s="491"/>
      <c r="F920" s="491"/>
      <c r="G920" s="491"/>
      <c r="H920" s="491"/>
      <c r="I920" s="491"/>
      <c r="J920" s="491"/>
      <c r="K920" s="491"/>
      <c r="L920" s="491"/>
      <c r="M920" s="491"/>
      <c r="N920" s="491"/>
      <c r="O920" s="491"/>
      <c r="P920" s="491"/>
      <c r="Q920" s="491"/>
      <c r="R920" s="217">
        <f>K918/12</f>
        <v>2.5</v>
      </c>
      <c r="S920" s="223"/>
      <c r="T920" s="195"/>
      <c r="U920" s="219"/>
      <c r="V920" s="491"/>
      <c r="W920" s="491"/>
      <c r="X920" s="491"/>
      <c r="Y920" s="491"/>
      <c r="Z920" s="491"/>
      <c r="AA920" s="491"/>
      <c r="AB920" s="491"/>
      <c r="AC920" s="491"/>
      <c r="AD920" s="491"/>
      <c r="AE920" s="491"/>
      <c r="AF920" s="491"/>
      <c r="AG920" s="491"/>
      <c r="AH920" s="193"/>
    </row>
    <row r="921" spans="1:34" ht="15.75" thickBot="1" x14ac:dyDescent="0.3">
      <c r="A921" s="193"/>
      <c r="B921" s="491"/>
      <c r="C921" s="500"/>
      <c r="D921" s="491"/>
      <c r="E921" s="491"/>
      <c r="F921" s="491"/>
      <c r="G921" s="491"/>
      <c r="H921" s="491"/>
      <c r="I921" s="491"/>
      <c r="J921" s="491"/>
      <c r="K921" s="491"/>
      <c r="L921" s="491"/>
      <c r="M921" s="491"/>
      <c r="N921" s="491"/>
      <c r="O921" s="491"/>
      <c r="P921" s="491"/>
      <c r="Q921" s="491"/>
      <c r="R921" s="213"/>
      <c r="S921" s="224"/>
      <c r="T921" s="220"/>
      <c r="U921" s="214"/>
      <c r="V921" s="491"/>
      <c r="W921" s="491"/>
      <c r="X921" s="491"/>
      <c r="Y921" s="491"/>
      <c r="Z921" s="491"/>
      <c r="AA921" s="491"/>
      <c r="AB921" s="491"/>
      <c r="AC921" s="491"/>
      <c r="AD921" s="491"/>
      <c r="AE921" s="491"/>
      <c r="AF921" s="491"/>
      <c r="AG921" s="491"/>
      <c r="AH921" s="193"/>
    </row>
    <row r="922" spans="1:34" x14ac:dyDescent="0.25">
      <c r="A922" s="193"/>
      <c r="B922" s="492"/>
      <c r="C922" s="501"/>
      <c r="D922" s="492"/>
      <c r="E922" s="492"/>
      <c r="F922" s="492"/>
      <c r="G922" s="492"/>
      <c r="H922" s="492"/>
      <c r="I922" s="492"/>
      <c r="J922" s="492"/>
      <c r="K922" s="492"/>
      <c r="L922" s="492"/>
      <c r="M922" s="492"/>
      <c r="N922" s="492"/>
      <c r="O922" s="492"/>
      <c r="P922" s="492"/>
      <c r="Q922" s="492"/>
      <c r="R922" s="221"/>
      <c r="S922" s="493">
        <f>L918/12</f>
        <v>2.5</v>
      </c>
      <c r="T922" s="493"/>
      <c r="U922" s="222"/>
      <c r="V922" s="492"/>
      <c r="W922" s="492"/>
      <c r="X922" s="492"/>
      <c r="Y922" s="492"/>
      <c r="Z922" s="492"/>
      <c r="AA922" s="492"/>
      <c r="AB922" s="492"/>
      <c r="AC922" s="492"/>
      <c r="AD922" s="492"/>
      <c r="AE922" s="492"/>
      <c r="AF922" s="492"/>
      <c r="AG922" s="492"/>
      <c r="AH922" s="193"/>
    </row>
    <row r="923" spans="1:34" x14ac:dyDescent="0.25">
      <c r="A923" s="193"/>
      <c r="B923" s="490"/>
      <c r="C923" s="490" t="s">
        <v>277</v>
      </c>
      <c r="D923" s="490">
        <v>5</v>
      </c>
      <c r="E923" s="490">
        <v>0.625</v>
      </c>
      <c r="F923" s="494">
        <v>16</v>
      </c>
      <c r="G923" s="229"/>
      <c r="H923" s="490"/>
      <c r="I923" s="490">
        <f>ROUNDUP(G913/F923,0)</f>
        <v>8</v>
      </c>
      <c r="J923" s="490">
        <v>1</v>
      </c>
      <c r="K923" s="490">
        <v>6</v>
      </c>
      <c r="L923" s="490">
        <f>4*12-2</f>
        <v>46</v>
      </c>
      <c r="M923" s="490">
        <f>11*12</f>
        <v>132</v>
      </c>
      <c r="N923" s="490"/>
      <c r="O923" s="490"/>
      <c r="P923" s="490"/>
      <c r="Q923" s="490"/>
      <c r="R923" s="213"/>
      <c r="S923" s="498"/>
      <c r="T923" s="498"/>
      <c r="U923" s="214"/>
      <c r="V923" s="490">
        <f>SUM(R923:U927)</f>
        <v>15.333333333333334</v>
      </c>
      <c r="W923" s="490">
        <f>+SUM(K923:Q927)</f>
        <v>184</v>
      </c>
      <c r="X923" s="490">
        <f>(+I923*J923*W923)/12</f>
        <v>122.66666666666667</v>
      </c>
      <c r="Y923" s="490">
        <f t="shared" ref="Y923:AF923" si="166">IF(Y$4=$D923,$X923*Y$5,0)</f>
        <v>0</v>
      </c>
      <c r="Z923" s="490">
        <f t="shared" si="166"/>
        <v>0</v>
      </c>
      <c r="AA923" s="490">
        <f t="shared" si="166"/>
        <v>127.94133333333333</v>
      </c>
      <c r="AB923" s="490">
        <f t="shared" si="166"/>
        <v>0</v>
      </c>
      <c r="AC923" s="490">
        <f t="shared" si="166"/>
        <v>0</v>
      </c>
      <c r="AD923" s="490">
        <f t="shared" si="166"/>
        <v>0</v>
      </c>
      <c r="AE923" s="490">
        <f t="shared" si="166"/>
        <v>0</v>
      </c>
      <c r="AF923" s="490">
        <f t="shared" si="166"/>
        <v>0</v>
      </c>
      <c r="AG923" s="490"/>
      <c r="AH923" s="193"/>
    </row>
    <row r="924" spans="1:34" x14ac:dyDescent="0.25">
      <c r="A924" s="193"/>
      <c r="B924" s="491"/>
      <c r="C924" s="491"/>
      <c r="D924" s="491"/>
      <c r="E924" s="491"/>
      <c r="F924" s="495"/>
      <c r="G924" s="230"/>
      <c r="H924" s="491"/>
      <c r="I924" s="491"/>
      <c r="J924" s="491"/>
      <c r="K924" s="491"/>
      <c r="L924" s="491"/>
      <c r="M924" s="491"/>
      <c r="N924" s="491"/>
      <c r="O924" s="491"/>
      <c r="P924" s="491"/>
      <c r="Q924" s="491"/>
      <c r="R924" s="213"/>
      <c r="S924" s="215"/>
      <c r="T924" s="216"/>
      <c r="U924" s="214"/>
      <c r="V924" s="491"/>
      <c r="W924" s="491"/>
      <c r="X924" s="491"/>
      <c r="Y924" s="491"/>
      <c r="Z924" s="491"/>
      <c r="AA924" s="491"/>
      <c r="AB924" s="491"/>
      <c r="AC924" s="491"/>
      <c r="AD924" s="491"/>
      <c r="AE924" s="491"/>
      <c r="AF924" s="491"/>
      <c r="AG924" s="491"/>
      <c r="AH924" s="193"/>
    </row>
    <row r="925" spans="1:34" x14ac:dyDescent="0.25">
      <c r="A925" s="193"/>
      <c r="B925" s="491"/>
      <c r="C925" s="491"/>
      <c r="D925" s="491"/>
      <c r="E925" s="491"/>
      <c r="F925" s="495"/>
      <c r="G925" s="230"/>
      <c r="H925" s="491"/>
      <c r="I925" s="491"/>
      <c r="J925" s="491"/>
      <c r="K925" s="491"/>
      <c r="L925" s="491"/>
      <c r="M925" s="491"/>
      <c r="N925" s="491"/>
      <c r="O925" s="491"/>
      <c r="P925" s="491"/>
      <c r="Q925" s="491"/>
      <c r="R925" s="225">
        <f>K923/12</f>
        <v>0.5</v>
      </c>
      <c r="S925" s="218"/>
      <c r="T925" s="218"/>
      <c r="U925" s="219"/>
      <c r="V925" s="491"/>
      <c r="W925" s="491"/>
      <c r="X925" s="491"/>
      <c r="Y925" s="491"/>
      <c r="Z925" s="491"/>
      <c r="AA925" s="491"/>
      <c r="AB925" s="491"/>
      <c r="AC925" s="491"/>
      <c r="AD925" s="491"/>
      <c r="AE925" s="491"/>
      <c r="AF925" s="491"/>
      <c r="AG925" s="491"/>
      <c r="AH925" s="193"/>
    </row>
    <row r="926" spans="1:34" ht="15.75" thickBot="1" x14ac:dyDescent="0.3">
      <c r="A926" s="193"/>
      <c r="B926" s="491"/>
      <c r="C926" s="491"/>
      <c r="D926" s="491"/>
      <c r="E926" s="491"/>
      <c r="F926" s="495"/>
      <c r="G926" s="230"/>
      <c r="H926" s="491"/>
      <c r="I926" s="491"/>
      <c r="J926" s="491"/>
      <c r="K926" s="491"/>
      <c r="L926" s="491"/>
      <c r="M926" s="491"/>
      <c r="N926" s="491"/>
      <c r="O926" s="491"/>
      <c r="P926" s="491"/>
      <c r="Q926" s="491"/>
      <c r="R926" s="226"/>
      <c r="S926" s="220"/>
      <c r="T926" s="220"/>
      <c r="U926" s="214"/>
      <c r="V926" s="491"/>
      <c r="W926" s="491"/>
      <c r="X926" s="491"/>
      <c r="Y926" s="491"/>
      <c r="Z926" s="491"/>
      <c r="AA926" s="491"/>
      <c r="AB926" s="491"/>
      <c r="AC926" s="491"/>
      <c r="AD926" s="491"/>
      <c r="AE926" s="491"/>
      <c r="AF926" s="491"/>
      <c r="AG926" s="491"/>
      <c r="AH926" s="193"/>
    </row>
    <row r="927" spans="1:34" x14ac:dyDescent="0.25">
      <c r="A927" s="193"/>
      <c r="B927" s="492"/>
      <c r="C927" s="492"/>
      <c r="D927" s="491"/>
      <c r="E927" s="491"/>
      <c r="F927" s="496"/>
      <c r="G927" s="231"/>
      <c r="H927" s="492"/>
      <c r="I927" s="492"/>
      <c r="J927" s="492"/>
      <c r="K927" s="492"/>
      <c r="L927" s="492"/>
      <c r="M927" s="492"/>
      <c r="N927" s="492"/>
      <c r="O927" s="492"/>
      <c r="P927" s="492"/>
      <c r="Q927" s="492"/>
      <c r="R927" s="221"/>
      <c r="S927" s="493">
        <f>+SUM(L923:M927)/12</f>
        <v>14.833333333333334</v>
      </c>
      <c r="T927" s="493"/>
      <c r="U927" s="222"/>
      <c r="V927" s="492"/>
      <c r="W927" s="492"/>
      <c r="X927" s="492"/>
      <c r="Y927" s="492"/>
      <c r="Z927" s="492"/>
      <c r="AA927" s="492"/>
      <c r="AB927" s="492"/>
      <c r="AC927" s="492"/>
      <c r="AD927" s="492"/>
      <c r="AE927" s="492"/>
      <c r="AF927" s="492"/>
      <c r="AG927" s="492"/>
      <c r="AH927" s="193"/>
    </row>
    <row r="928" spans="1:34" x14ac:dyDescent="0.25">
      <c r="A928" s="193"/>
      <c r="B928" s="490"/>
      <c r="C928" s="490" t="s">
        <v>286</v>
      </c>
      <c r="D928" s="490">
        <v>5</v>
      </c>
      <c r="E928" s="490">
        <v>0.625</v>
      </c>
      <c r="F928" s="494">
        <v>16</v>
      </c>
      <c r="G928" s="229"/>
      <c r="H928" s="490"/>
      <c r="I928" s="490">
        <f>ROUNDUP(M923/F928,0)</f>
        <v>9</v>
      </c>
      <c r="J928" s="490">
        <v>1</v>
      </c>
      <c r="K928" s="490"/>
      <c r="L928" s="490">
        <f>G911-2-2</f>
        <v>111</v>
      </c>
      <c r="M928" s="490"/>
      <c r="N928" s="490"/>
      <c r="O928" s="490"/>
      <c r="P928" s="490"/>
      <c r="Q928" s="490"/>
      <c r="R928" s="213"/>
      <c r="S928" s="498"/>
      <c r="T928" s="498"/>
      <c r="U928" s="214"/>
      <c r="V928" s="490">
        <f>SUM(R928:U932)</f>
        <v>9.25</v>
      </c>
      <c r="W928" s="490">
        <f>+SUM(K928:Q932)</f>
        <v>111</v>
      </c>
      <c r="X928" s="490">
        <f>(+I928*J928*W928)/12</f>
        <v>83.25</v>
      </c>
      <c r="Y928" s="490">
        <f t="shared" ref="Y928:AF928" si="167">IF(Y$4=$D928,$X928*Y$5,0)</f>
        <v>0</v>
      </c>
      <c r="Z928" s="490">
        <f t="shared" si="167"/>
        <v>0</v>
      </c>
      <c r="AA928" s="490">
        <f t="shared" si="167"/>
        <v>86.82974999999999</v>
      </c>
      <c r="AB928" s="490">
        <f t="shared" si="167"/>
        <v>0</v>
      </c>
      <c r="AC928" s="490">
        <f t="shared" si="167"/>
        <v>0</v>
      </c>
      <c r="AD928" s="490">
        <f t="shared" si="167"/>
        <v>0</v>
      </c>
      <c r="AE928" s="490">
        <f t="shared" si="167"/>
        <v>0</v>
      </c>
      <c r="AF928" s="490">
        <f t="shared" si="167"/>
        <v>0</v>
      </c>
      <c r="AG928" s="490"/>
      <c r="AH928" s="193"/>
    </row>
    <row r="929" spans="1:34" x14ac:dyDescent="0.25">
      <c r="A929" s="193"/>
      <c r="B929" s="491"/>
      <c r="C929" s="491"/>
      <c r="D929" s="491"/>
      <c r="E929" s="491"/>
      <c r="F929" s="495"/>
      <c r="G929" s="230"/>
      <c r="H929" s="491"/>
      <c r="I929" s="491"/>
      <c r="J929" s="491"/>
      <c r="K929" s="491"/>
      <c r="L929" s="491"/>
      <c r="M929" s="491"/>
      <c r="N929" s="491"/>
      <c r="O929" s="491"/>
      <c r="P929" s="491"/>
      <c r="Q929" s="491"/>
      <c r="R929" s="213"/>
      <c r="S929" s="215"/>
      <c r="T929" s="216"/>
      <c r="U929" s="214"/>
      <c r="V929" s="491"/>
      <c r="W929" s="491"/>
      <c r="X929" s="491"/>
      <c r="Y929" s="491"/>
      <c r="Z929" s="491"/>
      <c r="AA929" s="491"/>
      <c r="AB929" s="491"/>
      <c r="AC929" s="491"/>
      <c r="AD929" s="491"/>
      <c r="AE929" s="491"/>
      <c r="AF929" s="491"/>
      <c r="AG929" s="491"/>
      <c r="AH929" s="193"/>
    </row>
    <row r="930" spans="1:34" x14ac:dyDescent="0.25">
      <c r="A930" s="193"/>
      <c r="B930" s="491"/>
      <c r="C930" s="491"/>
      <c r="D930" s="491"/>
      <c r="E930" s="491"/>
      <c r="F930" s="495"/>
      <c r="G930" s="230"/>
      <c r="H930" s="491"/>
      <c r="I930" s="491"/>
      <c r="J930" s="491"/>
      <c r="K930" s="491"/>
      <c r="L930" s="491"/>
      <c r="M930" s="491"/>
      <c r="N930" s="491"/>
      <c r="O930" s="491"/>
      <c r="P930" s="491"/>
      <c r="Q930" s="497"/>
      <c r="R930" s="217"/>
      <c r="S930" s="218"/>
      <c r="T930" s="218"/>
      <c r="U930" s="219"/>
      <c r="V930" s="491"/>
      <c r="W930" s="491"/>
      <c r="X930" s="491"/>
      <c r="Y930" s="491"/>
      <c r="Z930" s="491"/>
      <c r="AA930" s="491"/>
      <c r="AB930" s="491"/>
      <c r="AC930" s="491"/>
      <c r="AD930" s="491"/>
      <c r="AE930" s="491"/>
      <c r="AF930" s="491"/>
      <c r="AG930" s="491"/>
      <c r="AH930" s="193"/>
    </row>
    <row r="931" spans="1:34" ht="15.75" thickBot="1" x14ac:dyDescent="0.3">
      <c r="A931" s="193"/>
      <c r="B931" s="491"/>
      <c r="C931" s="491"/>
      <c r="D931" s="491"/>
      <c r="E931" s="491"/>
      <c r="F931" s="495"/>
      <c r="G931" s="230"/>
      <c r="H931" s="491"/>
      <c r="I931" s="491"/>
      <c r="J931" s="491"/>
      <c r="K931" s="491"/>
      <c r="L931" s="491"/>
      <c r="M931" s="491"/>
      <c r="N931" s="491"/>
      <c r="O931" s="491"/>
      <c r="P931" s="491"/>
      <c r="Q931" s="497"/>
      <c r="R931" s="213"/>
      <c r="S931" s="220"/>
      <c r="T931" s="220"/>
      <c r="U931" s="214"/>
      <c r="V931" s="491"/>
      <c r="W931" s="491"/>
      <c r="X931" s="491"/>
      <c r="Y931" s="491"/>
      <c r="Z931" s="491"/>
      <c r="AA931" s="491"/>
      <c r="AB931" s="491"/>
      <c r="AC931" s="491"/>
      <c r="AD931" s="491"/>
      <c r="AE931" s="491"/>
      <c r="AF931" s="491"/>
      <c r="AG931" s="491"/>
      <c r="AH931" s="193"/>
    </row>
    <row r="932" spans="1:34" x14ac:dyDescent="0.25">
      <c r="A932" s="193"/>
      <c r="B932" s="492"/>
      <c r="C932" s="492"/>
      <c r="D932" s="492"/>
      <c r="E932" s="492"/>
      <c r="F932" s="496"/>
      <c r="G932" s="231"/>
      <c r="H932" s="492"/>
      <c r="I932" s="492"/>
      <c r="J932" s="492"/>
      <c r="K932" s="492"/>
      <c r="L932" s="492"/>
      <c r="M932" s="492"/>
      <c r="N932" s="492"/>
      <c r="O932" s="492"/>
      <c r="P932" s="492"/>
      <c r="Q932" s="492"/>
      <c r="R932" s="221"/>
      <c r="S932" s="493">
        <f>L928/12</f>
        <v>9.25</v>
      </c>
      <c r="T932" s="493"/>
      <c r="U932" s="222"/>
      <c r="V932" s="492"/>
      <c r="W932" s="492"/>
      <c r="X932" s="492"/>
      <c r="Y932" s="492"/>
      <c r="Z932" s="492"/>
      <c r="AA932" s="492"/>
      <c r="AB932" s="492"/>
      <c r="AC932" s="492"/>
      <c r="AD932" s="492"/>
      <c r="AE932" s="492"/>
      <c r="AF932" s="492"/>
      <c r="AG932" s="492"/>
      <c r="AH932" s="193"/>
    </row>
    <row r="933" spans="1:34" ht="15.75" thickBot="1" x14ac:dyDescent="0.3">
      <c r="A933" s="195"/>
      <c r="B933" s="200" t="s">
        <v>280</v>
      </c>
      <c r="C933" s="199" t="s">
        <v>379</v>
      </c>
      <c r="D933" s="197">
        <v>60</v>
      </c>
      <c r="E933" s="201">
        <v>8</v>
      </c>
      <c r="F933" s="202"/>
      <c r="G933" s="202">
        <f>(9*12)+7</f>
        <v>115</v>
      </c>
      <c r="H933" s="202">
        <v>16</v>
      </c>
      <c r="I933" s="202">
        <v>12</v>
      </c>
      <c r="J933" s="202">
        <v>12</v>
      </c>
      <c r="K933" s="199"/>
      <c r="L933" s="199"/>
      <c r="M933" s="199"/>
      <c r="N933" s="199"/>
      <c r="O933" s="199"/>
      <c r="P933" s="199"/>
      <c r="Q933" s="198"/>
      <c r="R933" s="196"/>
      <c r="S933" s="196"/>
      <c r="T933" s="196"/>
      <c r="U933" s="196"/>
      <c r="V933" s="203"/>
      <c r="W933" s="202"/>
      <c r="X933" s="202"/>
      <c r="Y933" s="199"/>
      <c r="Z933" s="199"/>
      <c r="AA933" s="199"/>
      <c r="AB933" s="199"/>
      <c r="AC933" s="199"/>
      <c r="AD933" s="199"/>
      <c r="AE933" s="199"/>
      <c r="AF933" s="199"/>
      <c r="AG933" s="199"/>
      <c r="AH933" s="195"/>
    </row>
    <row r="934" spans="1:34" ht="15.75" thickBot="1" x14ac:dyDescent="0.3">
      <c r="A934" s="193"/>
      <c r="B934" s="204"/>
      <c r="C934" s="205"/>
      <c r="D934" s="194"/>
      <c r="E934" s="206"/>
      <c r="F934" s="205"/>
      <c r="G934" s="205"/>
      <c r="H934" s="207">
        <v>3</v>
      </c>
      <c r="I934" s="207">
        <v>2</v>
      </c>
      <c r="J934" s="205"/>
      <c r="K934" s="205"/>
      <c r="L934" s="205"/>
      <c r="M934" s="205"/>
      <c r="N934" s="205"/>
      <c r="O934" s="205"/>
      <c r="P934" s="205"/>
      <c r="Q934" s="208"/>
      <c r="R934" s="209"/>
      <c r="S934" s="210"/>
      <c r="T934" s="210"/>
      <c r="U934" s="211"/>
      <c r="V934" s="212"/>
      <c r="W934" s="204"/>
      <c r="X934" s="204"/>
      <c r="Y934" s="205"/>
      <c r="Z934" s="205"/>
      <c r="AA934" s="205"/>
      <c r="AB934" s="205"/>
      <c r="AC934" s="205"/>
      <c r="AD934" s="205"/>
      <c r="AE934" s="205"/>
      <c r="AF934" s="205"/>
      <c r="AG934" s="205"/>
      <c r="AH934" s="193"/>
    </row>
    <row r="935" spans="1:34" x14ac:dyDescent="0.25">
      <c r="A935" s="193"/>
      <c r="B935" s="490"/>
      <c r="C935" s="499" t="s">
        <v>265</v>
      </c>
      <c r="D935" s="490">
        <v>5</v>
      </c>
      <c r="E935" s="490">
        <v>0.625</v>
      </c>
      <c r="F935" s="490"/>
      <c r="G935" s="490">
        <f>G933</f>
        <v>115</v>
      </c>
      <c r="H935" s="490"/>
      <c r="I935" s="490">
        <v>2</v>
      </c>
      <c r="J935" s="490">
        <v>1</v>
      </c>
      <c r="K935" s="490"/>
      <c r="L935" s="490">
        <f>G933-2-2</f>
        <v>111</v>
      </c>
      <c r="M935" s="490"/>
      <c r="N935" s="490"/>
      <c r="O935" s="490"/>
      <c r="P935" s="490"/>
      <c r="Q935" s="490"/>
      <c r="R935" s="213"/>
      <c r="S935" s="502"/>
      <c r="T935" s="502"/>
      <c r="U935" s="214"/>
      <c r="V935" s="490">
        <f>SUM(R935:U939)</f>
        <v>9.25</v>
      </c>
      <c r="W935" s="490">
        <f>+SUM(K935:Q939)</f>
        <v>111</v>
      </c>
      <c r="X935" s="490">
        <f>(+I935*J935*W935)/12</f>
        <v>18.5</v>
      </c>
      <c r="Y935" s="490">
        <f>IF(Y$4=$D935,$X935*Y$5,0)</f>
        <v>0</v>
      </c>
      <c r="Z935" s="490">
        <f t="shared" ref="Z935:AF935" si="168">IF(Z$4=$D935,$X935*Z$5,0)</f>
        <v>0</v>
      </c>
      <c r="AA935" s="490">
        <f t="shared" si="168"/>
        <v>19.295499999999997</v>
      </c>
      <c r="AB935" s="490">
        <f t="shared" si="168"/>
        <v>0</v>
      </c>
      <c r="AC935" s="490">
        <f t="shared" si="168"/>
        <v>0</v>
      </c>
      <c r="AD935" s="490">
        <f t="shared" si="168"/>
        <v>0</v>
      </c>
      <c r="AE935" s="490">
        <f t="shared" si="168"/>
        <v>0</v>
      </c>
      <c r="AF935" s="490">
        <f t="shared" si="168"/>
        <v>0</v>
      </c>
      <c r="AG935" s="490"/>
      <c r="AH935" s="193"/>
    </row>
    <row r="936" spans="1:34" x14ac:dyDescent="0.25">
      <c r="A936" s="193"/>
      <c r="B936" s="491"/>
      <c r="C936" s="500"/>
      <c r="D936" s="491"/>
      <c r="E936" s="491"/>
      <c r="F936" s="491"/>
      <c r="G936" s="491"/>
      <c r="H936" s="491"/>
      <c r="I936" s="491"/>
      <c r="J936" s="491"/>
      <c r="K936" s="491"/>
      <c r="L936" s="491"/>
      <c r="M936" s="491"/>
      <c r="N936" s="491"/>
      <c r="O936" s="491"/>
      <c r="P936" s="491"/>
      <c r="Q936" s="491"/>
      <c r="R936" s="213"/>
      <c r="S936" s="215"/>
      <c r="T936" s="216"/>
      <c r="U936" s="214"/>
      <c r="V936" s="491"/>
      <c r="W936" s="491"/>
      <c r="X936" s="491"/>
      <c r="Y936" s="491"/>
      <c r="Z936" s="491"/>
      <c r="AA936" s="491"/>
      <c r="AB936" s="491"/>
      <c r="AC936" s="491"/>
      <c r="AD936" s="491"/>
      <c r="AE936" s="491"/>
      <c r="AF936" s="491"/>
      <c r="AG936" s="491"/>
      <c r="AH936" s="193"/>
    </row>
    <row r="937" spans="1:34" x14ac:dyDescent="0.25">
      <c r="A937" s="193"/>
      <c r="B937" s="491"/>
      <c r="C937" s="500"/>
      <c r="D937" s="491"/>
      <c r="E937" s="491"/>
      <c r="F937" s="491"/>
      <c r="G937" s="491"/>
      <c r="H937" s="491"/>
      <c r="I937" s="491"/>
      <c r="J937" s="491"/>
      <c r="K937" s="491"/>
      <c r="L937" s="491"/>
      <c r="M937" s="491"/>
      <c r="N937" s="491"/>
      <c r="O937" s="491"/>
      <c r="P937" s="491"/>
      <c r="Q937" s="491"/>
      <c r="R937" s="217"/>
      <c r="S937" s="218"/>
      <c r="T937" s="218"/>
      <c r="U937" s="219"/>
      <c r="V937" s="491"/>
      <c r="W937" s="491"/>
      <c r="X937" s="491"/>
      <c r="Y937" s="491"/>
      <c r="Z937" s="491"/>
      <c r="AA937" s="491"/>
      <c r="AB937" s="491"/>
      <c r="AC937" s="491"/>
      <c r="AD937" s="491"/>
      <c r="AE937" s="491"/>
      <c r="AF937" s="491"/>
      <c r="AG937" s="491"/>
      <c r="AH937" s="193"/>
    </row>
    <row r="938" spans="1:34" ht="15.75" thickBot="1" x14ac:dyDescent="0.3">
      <c r="A938" s="193"/>
      <c r="B938" s="491"/>
      <c r="C938" s="500"/>
      <c r="D938" s="491"/>
      <c r="E938" s="491"/>
      <c r="F938" s="491"/>
      <c r="G938" s="491"/>
      <c r="H938" s="491"/>
      <c r="I938" s="491"/>
      <c r="J938" s="491"/>
      <c r="K938" s="491"/>
      <c r="L938" s="491"/>
      <c r="M938" s="491"/>
      <c r="N938" s="491"/>
      <c r="O938" s="491"/>
      <c r="P938" s="491"/>
      <c r="Q938" s="491"/>
      <c r="R938" s="213"/>
      <c r="S938" s="220"/>
      <c r="T938" s="220"/>
      <c r="U938" s="214"/>
      <c r="V938" s="491"/>
      <c r="W938" s="491"/>
      <c r="X938" s="491"/>
      <c r="Y938" s="491"/>
      <c r="Z938" s="491"/>
      <c r="AA938" s="491"/>
      <c r="AB938" s="491"/>
      <c r="AC938" s="491"/>
      <c r="AD938" s="491"/>
      <c r="AE938" s="491"/>
      <c r="AF938" s="491"/>
      <c r="AG938" s="491"/>
      <c r="AH938" s="193"/>
    </row>
    <row r="939" spans="1:34" x14ac:dyDescent="0.25">
      <c r="A939" s="193"/>
      <c r="B939" s="492"/>
      <c r="C939" s="501"/>
      <c r="D939" s="492"/>
      <c r="E939" s="492"/>
      <c r="F939" s="492"/>
      <c r="G939" s="492"/>
      <c r="H939" s="492"/>
      <c r="I939" s="492"/>
      <c r="J939" s="492"/>
      <c r="K939" s="492"/>
      <c r="L939" s="492"/>
      <c r="M939" s="492"/>
      <c r="N939" s="492"/>
      <c r="O939" s="492"/>
      <c r="P939" s="492"/>
      <c r="Q939" s="492"/>
      <c r="R939" s="221"/>
      <c r="S939" s="493">
        <f>L935/12</f>
        <v>9.25</v>
      </c>
      <c r="T939" s="493"/>
      <c r="U939" s="222"/>
      <c r="V939" s="492"/>
      <c r="W939" s="492"/>
      <c r="X939" s="492"/>
      <c r="Y939" s="492"/>
      <c r="Z939" s="492"/>
      <c r="AA939" s="492"/>
      <c r="AB939" s="492"/>
      <c r="AC939" s="492"/>
      <c r="AD939" s="492"/>
      <c r="AE939" s="492"/>
      <c r="AF939" s="492"/>
      <c r="AG939" s="492"/>
      <c r="AH939" s="193"/>
    </row>
    <row r="940" spans="1:34" x14ac:dyDescent="0.25">
      <c r="A940" s="193"/>
      <c r="B940" s="490"/>
      <c r="C940" s="499" t="s">
        <v>271</v>
      </c>
      <c r="D940" s="490">
        <v>5</v>
      </c>
      <c r="E940" s="490">
        <v>0.625</v>
      </c>
      <c r="F940" s="490"/>
      <c r="G940" s="490"/>
      <c r="H940" s="490"/>
      <c r="I940" s="490">
        <v>2</v>
      </c>
      <c r="J940" s="490">
        <v>2</v>
      </c>
      <c r="K940" s="490">
        <v>30</v>
      </c>
      <c r="L940" s="490">
        <v>30</v>
      </c>
      <c r="M940" s="490"/>
      <c r="N940" s="490"/>
      <c r="O940" s="490"/>
      <c r="P940" s="490"/>
      <c r="Q940" s="490"/>
      <c r="R940" s="213"/>
      <c r="S940" s="498"/>
      <c r="T940" s="498"/>
      <c r="U940" s="214"/>
      <c r="V940" s="490">
        <f>SUM(R940:U944)</f>
        <v>5</v>
      </c>
      <c r="W940" s="490">
        <f>+SUM(K940:Q944)</f>
        <v>60</v>
      </c>
      <c r="X940" s="490">
        <f>(+I940*J940*W940)/12</f>
        <v>20</v>
      </c>
      <c r="Y940" s="490">
        <f t="shared" ref="Y940:AF940" si="169">IF(Y$4=$D940,$X940*Y$5,0)</f>
        <v>0</v>
      </c>
      <c r="Z940" s="490">
        <f t="shared" si="169"/>
        <v>0</v>
      </c>
      <c r="AA940" s="490">
        <f t="shared" si="169"/>
        <v>20.86</v>
      </c>
      <c r="AB940" s="490">
        <f t="shared" si="169"/>
        <v>0</v>
      </c>
      <c r="AC940" s="490">
        <f t="shared" si="169"/>
        <v>0</v>
      </c>
      <c r="AD940" s="490">
        <f t="shared" si="169"/>
        <v>0</v>
      </c>
      <c r="AE940" s="490">
        <f t="shared" si="169"/>
        <v>0</v>
      </c>
      <c r="AF940" s="490">
        <f t="shared" si="169"/>
        <v>0</v>
      </c>
      <c r="AG940" s="490"/>
      <c r="AH940" s="193"/>
    </row>
    <row r="941" spans="1:34" x14ac:dyDescent="0.25">
      <c r="A941" s="193"/>
      <c r="B941" s="491"/>
      <c r="C941" s="500"/>
      <c r="D941" s="491"/>
      <c r="E941" s="491"/>
      <c r="F941" s="491"/>
      <c r="G941" s="491"/>
      <c r="H941" s="491"/>
      <c r="I941" s="491"/>
      <c r="J941" s="491"/>
      <c r="K941" s="491"/>
      <c r="L941" s="491"/>
      <c r="M941" s="491"/>
      <c r="N941" s="491"/>
      <c r="O941" s="491"/>
      <c r="P941" s="491"/>
      <c r="Q941" s="491"/>
      <c r="R941" s="213"/>
      <c r="S941" s="215"/>
      <c r="T941" s="216"/>
      <c r="U941" s="214"/>
      <c r="V941" s="491"/>
      <c r="W941" s="491"/>
      <c r="X941" s="491"/>
      <c r="Y941" s="491"/>
      <c r="Z941" s="491"/>
      <c r="AA941" s="491"/>
      <c r="AB941" s="491"/>
      <c r="AC941" s="491"/>
      <c r="AD941" s="491"/>
      <c r="AE941" s="491"/>
      <c r="AF941" s="491"/>
      <c r="AG941" s="491"/>
      <c r="AH941" s="193"/>
    </row>
    <row r="942" spans="1:34" x14ac:dyDescent="0.25">
      <c r="A942" s="193"/>
      <c r="B942" s="491"/>
      <c r="C942" s="500"/>
      <c r="D942" s="491"/>
      <c r="E942" s="491"/>
      <c r="F942" s="491"/>
      <c r="G942" s="491"/>
      <c r="H942" s="491"/>
      <c r="I942" s="491"/>
      <c r="J942" s="491"/>
      <c r="K942" s="491"/>
      <c r="L942" s="491"/>
      <c r="M942" s="491"/>
      <c r="N942" s="491"/>
      <c r="O942" s="491"/>
      <c r="P942" s="491"/>
      <c r="Q942" s="491"/>
      <c r="R942" s="217">
        <f>K940/12</f>
        <v>2.5</v>
      </c>
      <c r="S942" s="223"/>
      <c r="T942" s="195"/>
      <c r="U942" s="219"/>
      <c r="V942" s="491"/>
      <c r="W942" s="491"/>
      <c r="X942" s="491"/>
      <c r="Y942" s="491"/>
      <c r="Z942" s="491"/>
      <c r="AA942" s="491"/>
      <c r="AB942" s="491"/>
      <c r="AC942" s="491"/>
      <c r="AD942" s="491"/>
      <c r="AE942" s="491"/>
      <c r="AF942" s="491"/>
      <c r="AG942" s="491"/>
      <c r="AH942" s="193"/>
    </row>
    <row r="943" spans="1:34" ht="15.75" thickBot="1" x14ac:dyDescent="0.3">
      <c r="A943" s="193"/>
      <c r="B943" s="491"/>
      <c r="C943" s="500"/>
      <c r="D943" s="491"/>
      <c r="E943" s="491"/>
      <c r="F943" s="491"/>
      <c r="G943" s="491"/>
      <c r="H943" s="491"/>
      <c r="I943" s="491"/>
      <c r="J943" s="491"/>
      <c r="K943" s="491"/>
      <c r="L943" s="491"/>
      <c r="M943" s="491"/>
      <c r="N943" s="491"/>
      <c r="O943" s="491"/>
      <c r="P943" s="491"/>
      <c r="Q943" s="491"/>
      <c r="R943" s="213"/>
      <c r="S943" s="224"/>
      <c r="T943" s="220"/>
      <c r="U943" s="214"/>
      <c r="V943" s="491"/>
      <c r="W943" s="491"/>
      <c r="X943" s="491"/>
      <c r="Y943" s="491"/>
      <c r="Z943" s="491"/>
      <c r="AA943" s="491"/>
      <c r="AB943" s="491"/>
      <c r="AC943" s="491"/>
      <c r="AD943" s="491"/>
      <c r="AE943" s="491"/>
      <c r="AF943" s="491"/>
      <c r="AG943" s="491"/>
      <c r="AH943" s="193"/>
    </row>
    <row r="944" spans="1:34" x14ac:dyDescent="0.25">
      <c r="A944" s="193"/>
      <c r="B944" s="492"/>
      <c r="C944" s="501"/>
      <c r="D944" s="492"/>
      <c r="E944" s="492"/>
      <c r="F944" s="492"/>
      <c r="G944" s="492"/>
      <c r="H944" s="492"/>
      <c r="I944" s="492"/>
      <c r="J944" s="492"/>
      <c r="K944" s="492"/>
      <c r="L944" s="492"/>
      <c r="M944" s="492"/>
      <c r="N944" s="492"/>
      <c r="O944" s="492"/>
      <c r="P944" s="492"/>
      <c r="Q944" s="492"/>
      <c r="R944" s="221"/>
      <c r="S944" s="493">
        <f>L940/12</f>
        <v>2.5</v>
      </c>
      <c r="T944" s="493"/>
      <c r="U944" s="222"/>
      <c r="V944" s="492"/>
      <c r="W944" s="492"/>
      <c r="X944" s="492"/>
      <c r="Y944" s="492"/>
      <c r="Z944" s="492"/>
      <c r="AA944" s="492"/>
      <c r="AB944" s="492"/>
      <c r="AC944" s="492"/>
      <c r="AD944" s="492"/>
      <c r="AE944" s="492"/>
      <c r="AF944" s="492"/>
      <c r="AG944" s="492"/>
      <c r="AH944" s="193"/>
    </row>
    <row r="945" spans="1:34" x14ac:dyDescent="0.25">
      <c r="A945" s="193"/>
      <c r="B945" s="490"/>
      <c r="C945" s="490" t="s">
        <v>277</v>
      </c>
      <c r="D945" s="490">
        <v>5</v>
      </c>
      <c r="E945" s="490">
        <v>0.625</v>
      </c>
      <c r="F945" s="494">
        <v>16</v>
      </c>
      <c r="G945" s="229"/>
      <c r="H945" s="490"/>
      <c r="I945" s="490">
        <f>ROUNDUP(G935/F945,0)</f>
        <v>8</v>
      </c>
      <c r="J945" s="490">
        <v>1</v>
      </c>
      <c r="K945" s="490">
        <v>6</v>
      </c>
      <c r="L945" s="490">
        <f>4*12-2</f>
        <v>46</v>
      </c>
      <c r="M945" s="490">
        <f>11*12</f>
        <v>132</v>
      </c>
      <c r="N945" s="490"/>
      <c r="O945" s="490"/>
      <c r="P945" s="490"/>
      <c r="Q945" s="490"/>
      <c r="R945" s="213"/>
      <c r="S945" s="498"/>
      <c r="T945" s="498"/>
      <c r="U945" s="214"/>
      <c r="V945" s="490">
        <f>SUM(R945:U949)</f>
        <v>15.333333333333334</v>
      </c>
      <c r="W945" s="490">
        <f>+SUM(K945:Q949)</f>
        <v>184</v>
      </c>
      <c r="X945" s="490">
        <f>(+I945*J945*W945)/12</f>
        <v>122.66666666666667</v>
      </c>
      <c r="Y945" s="490">
        <f t="shared" ref="Y945:AF945" si="170">IF(Y$4=$D945,$X945*Y$5,0)</f>
        <v>0</v>
      </c>
      <c r="Z945" s="490">
        <f t="shared" si="170"/>
        <v>0</v>
      </c>
      <c r="AA945" s="490">
        <f t="shared" si="170"/>
        <v>127.94133333333333</v>
      </c>
      <c r="AB945" s="490">
        <f t="shared" si="170"/>
        <v>0</v>
      </c>
      <c r="AC945" s="490">
        <f t="shared" si="170"/>
        <v>0</v>
      </c>
      <c r="AD945" s="490">
        <f t="shared" si="170"/>
        <v>0</v>
      </c>
      <c r="AE945" s="490">
        <f t="shared" si="170"/>
        <v>0</v>
      </c>
      <c r="AF945" s="490">
        <f t="shared" si="170"/>
        <v>0</v>
      </c>
      <c r="AG945" s="490"/>
      <c r="AH945" s="193"/>
    </row>
    <row r="946" spans="1:34" x14ac:dyDescent="0.25">
      <c r="A946" s="193"/>
      <c r="B946" s="491"/>
      <c r="C946" s="491"/>
      <c r="D946" s="491"/>
      <c r="E946" s="491"/>
      <c r="F946" s="495"/>
      <c r="G946" s="230"/>
      <c r="H946" s="491"/>
      <c r="I946" s="491"/>
      <c r="J946" s="491"/>
      <c r="K946" s="491"/>
      <c r="L946" s="491"/>
      <c r="M946" s="491"/>
      <c r="N946" s="491"/>
      <c r="O946" s="491"/>
      <c r="P946" s="491"/>
      <c r="Q946" s="491"/>
      <c r="R946" s="213"/>
      <c r="S946" s="215"/>
      <c r="T946" s="216"/>
      <c r="U946" s="214"/>
      <c r="V946" s="491"/>
      <c r="W946" s="491"/>
      <c r="X946" s="491"/>
      <c r="Y946" s="491"/>
      <c r="Z946" s="491"/>
      <c r="AA946" s="491"/>
      <c r="AB946" s="491"/>
      <c r="AC946" s="491"/>
      <c r="AD946" s="491"/>
      <c r="AE946" s="491"/>
      <c r="AF946" s="491"/>
      <c r="AG946" s="491"/>
      <c r="AH946" s="193"/>
    </row>
    <row r="947" spans="1:34" x14ac:dyDescent="0.25">
      <c r="A947" s="193"/>
      <c r="B947" s="491"/>
      <c r="C947" s="491"/>
      <c r="D947" s="491"/>
      <c r="E947" s="491"/>
      <c r="F947" s="495"/>
      <c r="G947" s="230"/>
      <c r="H947" s="491"/>
      <c r="I947" s="491"/>
      <c r="J947" s="491"/>
      <c r="K947" s="491"/>
      <c r="L947" s="491"/>
      <c r="M947" s="491"/>
      <c r="N947" s="491"/>
      <c r="O947" s="491"/>
      <c r="P947" s="491"/>
      <c r="Q947" s="491"/>
      <c r="R947" s="225">
        <f>K945/12</f>
        <v>0.5</v>
      </c>
      <c r="S947" s="218"/>
      <c r="T947" s="218"/>
      <c r="U947" s="219"/>
      <c r="V947" s="491"/>
      <c r="W947" s="491"/>
      <c r="X947" s="491"/>
      <c r="Y947" s="491"/>
      <c r="Z947" s="491"/>
      <c r="AA947" s="491"/>
      <c r="AB947" s="491"/>
      <c r="AC947" s="491"/>
      <c r="AD947" s="491"/>
      <c r="AE947" s="491"/>
      <c r="AF947" s="491"/>
      <c r="AG947" s="491"/>
      <c r="AH947" s="193"/>
    </row>
    <row r="948" spans="1:34" ht="15.75" thickBot="1" x14ac:dyDescent="0.3">
      <c r="A948" s="193"/>
      <c r="B948" s="491"/>
      <c r="C948" s="491"/>
      <c r="D948" s="491"/>
      <c r="E948" s="491"/>
      <c r="F948" s="495"/>
      <c r="G948" s="230"/>
      <c r="H948" s="491"/>
      <c r="I948" s="491"/>
      <c r="J948" s="491"/>
      <c r="K948" s="491"/>
      <c r="L948" s="491"/>
      <c r="M948" s="491"/>
      <c r="N948" s="491"/>
      <c r="O948" s="491"/>
      <c r="P948" s="491"/>
      <c r="Q948" s="491"/>
      <c r="R948" s="226"/>
      <c r="S948" s="220"/>
      <c r="T948" s="220"/>
      <c r="U948" s="214"/>
      <c r="V948" s="491"/>
      <c r="W948" s="491"/>
      <c r="X948" s="491"/>
      <c r="Y948" s="491"/>
      <c r="Z948" s="491"/>
      <c r="AA948" s="491"/>
      <c r="AB948" s="491"/>
      <c r="AC948" s="491"/>
      <c r="AD948" s="491"/>
      <c r="AE948" s="491"/>
      <c r="AF948" s="491"/>
      <c r="AG948" s="491"/>
      <c r="AH948" s="193"/>
    </row>
    <row r="949" spans="1:34" x14ac:dyDescent="0.25">
      <c r="A949" s="193"/>
      <c r="B949" s="492"/>
      <c r="C949" s="492"/>
      <c r="D949" s="491"/>
      <c r="E949" s="491"/>
      <c r="F949" s="496"/>
      <c r="G949" s="231"/>
      <c r="H949" s="492"/>
      <c r="I949" s="492"/>
      <c r="J949" s="492"/>
      <c r="K949" s="492"/>
      <c r="L949" s="492"/>
      <c r="M949" s="492"/>
      <c r="N949" s="492"/>
      <c r="O949" s="492"/>
      <c r="P949" s="492"/>
      <c r="Q949" s="492"/>
      <c r="R949" s="221"/>
      <c r="S949" s="493">
        <f>+SUM(L945:M949)/12</f>
        <v>14.833333333333334</v>
      </c>
      <c r="T949" s="493"/>
      <c r="U949" s="222"/>
      <c r="V949" s="492"/>
      <c r="W949" s="492"/>
      <c r="X949" s="492"/>
      <c r="Y949" s="492"/>
      <c r="Z949" s="492"/>
      <c r="AA949" s="492"/>
      <c r="AB949" s="492"/>
      <c r="AC949" s="492"/>
      <c r="AD949" s="492"/>
      <c r="AE949" s="492"/>
      <c r="AF949" s="492"/>
      <c r="AG949" s="492"/>
      <c r="AH949" s="193"/>
    </row>
    <row r="950" spans="1:34" x14ac:dyDescent="0.25">
      <c r="A950" s="193"/>
      <c r="B950" s="490"/>
      <c r="C950" s="490" t="s">
        <v>286</v>
      </c>
      <c r="D950" s="490">
        <v>5</v>
      </c>
      <c r="E950" s="490">
        <v>0.625</v>
      </c>
      <c r="F950" s="494">
        <v>16</v>
      </c>
      <c r="G950" s="229"/>
      <c r="H950" s="490"/>
      <c r="I950" s="490">
        <f>ROUNDUP(M945/F950,0)</f>
        <v>9</v>
      </c>
      <c r="J950" s="490">
        <v>1</v>
      </c>
      <c r="K950" s="490"/>
      <c r="L950" s="490">
        <f>G933-2-2</f>
        <v>111</v>
      </c>
      <c r="M950" s="490"/>
      <c r="N950" s="490"/>
      <c r="O950" s="490"/>
      <c r="P950" s="490"/>
      <c r="Q950" s="490"/>
      <c r="R950" s="213"/>
      <c r="S950" s="498"/>
      <c r="T950" s="498"/>
      <c r="U950" s="214"/>
      <c r="V950" s="490">
        <f>SUM(R950:U954)</f>
        <v>9.25</v>
      </c>
      <c r="W950" s="490">
        <f>+SUM(K950:Q954)</f>
        <v>111</v>
      </c>
      <c r="X950" s="490">
        <f>(+I950*J950*W950)/12</f>
        <v>83.25</v>
      </c>
      <c r="Y950" s="490">
        <f t="shared" ref="Y950:AF950" si="171">IF(Y$4=$D950,$X950*Y$5,0)</f>
        <v>0</v>
      </c>
      <c r="Z950" s="490">
        <f t="shared" si="171"/>
        <v>0</v>
      </c>
      <c r="AA950" s="490">
        <f t="shared" si="171"/>
        <v>86.82974999999999</v>
      </c>
      <c r="AB950" s="490">
        <f t="shared" si="171"/>
        <v>0</v>
      </c>
      <c r="AC950" s="490">
        <f t="shared" si="171"/>
        <v>0</v>
      </c>
      <c r="AD950" s="490">
        <f t="shared" si="171"/>
        <v>0</v>
      </c>
      <c r="AE950" s="490">
        <f t="shared" si="171"/>
        <v>0</v>
      </c>
      <c r="AF950" s="490">
        <f t="shared" si="171"/>
        <v>0</v>
      </c>
      <c r="AG950" s="490"/>
      <c r="AH950" s="193"/>
    </row>
    <row r="951" spans="1:34" x14ac:dyDescent="0.25">
      <c r="A951" s="193"/>
      <c r="B951" s="491"/>
      <c r="C951" s="491"/>
      <c r="D951" s="491"/>
      <c r="E951" s="491"/>
      <c r="F951" s="495"/>
      <c r="G951" s="230"/>
      <c r="H951" s="491"/>
      <c r="I951" s="491"/>
      <c r="J951" s="491"/>
      <c r="K951" s="491"/>
      <c r="L951" s="491"/>
      <c r="M951" s="491"/>
      <c r="N951" s="491"/>
      <c r="O951" s="491"/>
      <c r="P951" s="491"/>
      <c r="Q951" s="491"/>
      <c r="R951" s="213"/>
      <c r="S951" s="215"/>
      <c r="T951" s="216"/>
      <c r="U951" s="214"/>
      <c r="V951" s="491"/>
      <c r="W951" s="491"/>
      <c r="X951" s="491"/>
      <c r="Y951" s="491"/>
      <c r="Z951" s="491"/>
      <c r="AA951" s="491"/>
      <c r="AB951" s="491"/>
      <c r="AC951" s="491"/>
      <c r="AD951" s="491"/>
      <c r="AE951" s="491"/>
      <c r="AF951" s="491"/>
      <c r="AG951" s="491"/>
      <c r="AH951" s="193"/>
    </row>
    <row r="952" spans="1:34" x14ac:dyDescent="0.25">
      <c r="A952" s="193"/>
      <c r="B952" s="491"/>
      <c r="C952" s="491"/>
      <c r="D952" s="491"/>
      <c r="E952" s="491"/>
      <c r="F952" s="495"/>
      <c r="G952" s="230"/>
      <c r="H952" s="491"/>
      <c r="I952" s="491"/>
      <c r="J952" s="491"/>
      <c r="K952" s="491"/>
      <c r="L952" s="491"/>
      <c r="M952" s="491"/>
      <c r="N952" s="491"/>
      <c r="O952" s="491"/>
      <c r="P952" s="491"/>
      <c r="Q952" s="497"/>
      <c r="R952" s="217"/>
      <c r="S952" s="218"/>
      <c r="T952" s="218"/>
      <c r="U952" s="219"/>
      <c r="V952" s="491"/>
      <c r="W952" s="491"/>
      <c r="X952" s="491"/>
      <c r="Y952" s="491"/>
      <c r="Z952" s="491"/>
      <c r="AA952" s="491"/>
      <c r="AB952" s="491"/>
      <c r="AC952" s="491"/>
      <c r="AD952" s="491"/>
      <c r="AE952" s="491"/>
      <c r="AF952" s="491"/>
      <c r="AG952" s="491"/>
      <c r="AH952" s="193"/>
    </row>
    <row r="953" spans="1:34" ht="15.75" thickBot="1" x14ac:dyDescent="0.3">
      <c r="A953" s="193"/>
      <c r="B953" s="491"/>
      <c r="C953" s="491"/>
      <c r="D953" s="491"/>
      <c r="E953" s="491"/>
      <c r="F953" s="495"/>
      <c r="G953" s="230"/>
      <c r="H953" s="491"/>
      <c r="I953" s="491"/>
      <c r="J953" s="491"/>
      <c r="K953" s="491"/>
      <c r="L953" s="491"/>
      <c r="M953" s="491"/>
      <c r="N953" s="491"/>
      <c r="O953" s="491"/>
      <c r="P953" s="491"/>
      <c r="Q953" s="497"/>
      <c r="R953" s="213"/>
      <c r="S953" s="220"/>
      <c r="T953" s="220"/>
      <c r="U953" s="214"/>
      <c r="V953" s="491"/>
      <c r="W953" s="491"/>
      <c r="X953" s="491"/>
      <c r="Y953" s="491"/>
      <c r="Z953" s="491"/>
      <c r="AA953" s="491"/>
      <c r="AB953" s="491"/>
      <c r="AC953" s="491"/>
      <c r="AD953" s="491"/>
      <c r="AE953" s="491"/>
      <c r="AF953" s="491"/>
      <c r="AG953" s="491"/>
      <c r="AH953" s="193"/>
    </row>
    <row r="954" spans="1:34" x14ac:dyDescent="0.25">
      <c r="A954" s="193"/>
      <c r="B954" s="492"/>
      <c r="C954" s="492"/>
      <c r="D954" s="492"/>
      <c r="E954" s="492"/>
      <c r="F954" s="496"/>
      <c r="G954" s="231"/>
      <c r="H954" s="492"/>
      <c r="I954" s="492"/>
      <c r="J954" s="492"/>
      <c r="K954" s="492"/>
      <c r="L954" s="492"/>
      <c r="M954" s="492"/>
      <c r="N954" s="492"/>
      <c r="O954" s="492"/>
      <c r="P954" s="492"/>
      <c r="Q954" s="492"/>
      <c r="R954" s="221"/>
      <c r="S954" s="493">
        <f>L950/12</f>
        <v>9.25</v>
      </c>
      <c r="T954" s="493"/>
      <c r="U954" s="222"/>
      <c r="V954" s="492"/>
      <c r="W954" s="492"/>
      <c r="X954" s="492"/>
      <c r="Y954" s="492"/>
      <c r="Z954" s="492"/>
      <c r="AA954" s="492"/>
      <c r="AB954" s="492"/>
      <c r="AC954" s="492"/>
      <c r="AD954" s="492"/>
      <c r="AE954" s="492"/>
      <c r="AF954" s="492"/>
      <c r="AG954" s="492"/>
      <c r="AH954" s="193"/>
    </row>
    <row r="955" spans="1:34" ht="15.75" thickBot="1" x14ac:dyDescent="0.3">
      <c r="A955" s="195"/>
      <c r="B955" s="200" t="s">
        <v>281</v>
      </c>
      <c r="C955" s="199" t="s">
        <v>379</v>
      </c>
      <c r="D955" s="197">
        <v>60</v>
      </c>
      <c r="E955" s="201">
        <v>8</v>
      </c>
      <c r="F955" s="202"/>
      <c r="G955" s="202">
        <f>(9*12)+7</f>
        <v>115</v>
      </c>
      <c r="H955" s="202">
        <v>16</v>
      </c>
      <c r="I955" s="202">
        <v>12</v>
      </c>
      <c r="J955" s="202">
        <v>12</v>
      </c>
      <c r="K955" s="199"/>
      <c r="L955" s="199"/>
      <c r="M955" s="199"/>
      <c r="N955" s="199"/>
      <c r="O955" s="199"/>
      <c r="P955" s="199"/>
      <c r="Q955" s="198"/>
      <c r="R955" s="196"/>
      <c r="S955" s="196"/>
      <c r="T955" s="196"/>
      <c r="U955" s="196"/>
      <c r="V955" s="203"/>
      <c r="W955" s="202"/>
      <c r="X955" s="202"/>
      <c r="Y955" s="199"/>
      <c r="Z955" s="199"/>
      <c r="AA955" s="199"/>
      <c r="AB955" s="199"/>
      <c r="AC955" s="199"/>
      <c r="AD955" s="199"/>
      <c r="AE955" s="199"/>
      <c r="AF955" s="199"/>
      <c r="AG955" s="199"/>
      <c r="AH955" s="195"/>
    </row>
    <row r="956" spans="1:34" ht="15.75" thickBot="1" x14ac:dyDescent="0.3">
      <c r="A956" s="193"/>
      <c r="B956" s="204"/>
      <c r="C956" s="205"/>
      <c r="D956" s="194"/>
      <c r="E956" s="206"/>
      <c r="F956" s="205"/>
      <c r="G956" s="205"/>
      <c r="H956" s="207">
        <v>3</v>
      </c>
      <c r="I956" s="207">
        <v>2</v>
      </c>
      <c r="J956" s="205"/>
      <c r="K956" s="205"/>
      <c r="L956" s="205"/>
      <c r="M956" s="205"/>
      <c r="N956" s="205"/>
      <c r="O956" s="205"/>
      <c r="P956" s="205"/>
      <c r="Q956" s="208"/>
      <c r="R956" s="209"/>
      <c r="S956" s="210"/>
      <c r="T956" s="210"/>
      <c r="U956" s="211"/>
      <c r="V956" s="212"/>
      <c r="W956" s="204"/>
      <c r="X956" s="204"/>
      <c r="Y956" s="205"/>
      <c r="Z956" s="205"/>
      <c r="AA956" s="205"/>
      <c r="AB956" s="205"/>
      <c r="AC956" s="205"/>
      <c r="AD956" s="205"/>
      <c r="AE956" s="205"/>
      <c r="AF956" s="205"/>
      <c r="AG956" s="205"/>
      <c r="AH956" s="193"/>
    </row>
    <row r="957" spans="1:34" x14ac:dyDescent="0.25">
      <c r="A957" s="193"/>
      <c r="B957" s="490"/>
      <c r="C957" s="499" t="s">
        <v>265</v>
      </c>
      <c r="D957" s="490">
        <v>5</v>
      </c>
      <c r="E957" s="490">
        <v>0.625</v>
      </c>
      <c r="F957" s="490"/>
      <c r="G957" s="490">
        <f>G955</f>
        <v>115</v>
      </c>
      <c r="H957" s="490"/>
      <c r="I957" s="490">
        <v>2</v>
      </c>
      <c r="J957" s="490">
        <v>1</v>
      </c>
      <c r="K957" s="490"/>
      <c r="L957" s="490">
        <f>G955-2-2</f>
        <v>111</v>
      </c>
      <c r="M957" s="490"/>
      <c r="N957" s="490"/>
      <c r="O957" s="490"/>
      <c r="P957" s="490"/>
      <c r="Q957" s="490"/>
      <c r="R957" s="213"/>
      <c r="S957" s="502"/>
      <c r="T957" s="502"/>
      <c r="U957" s="214"/>
      <c r="V957" s="490">
        <f>SUM(R957:U961)</f>
        <v>9.25</v>
      </c>
      <c r="W957" s="490">
        <f>+SUM(K957:Q961)</f>
        <v>111</v>
      </c>
      <c r="X957" s="490">
        <f>(+I957*J957*W957)/12</f>
        <v>18.5</v>
      </c>
      <c r="Y957" s="490">
        <f>IF(Y$4=$D957,$X957*Y$5,0)</f>
        <v>0</v>
      </c>
      <c r="Z957" s="490">
        <f t="shared" ref="Z957:AF957" si="172">IF(Z$4=$D957,$X957*Z$5,0)</f>
        <v>0</v>
      </c>
      <c r="AA957" s="490">
        <f t="shared" si="172"/>
        <v>19.295499999999997</v>
      </c>
      <c r="AB957" s="490">
        <f t="shared" si="172"/>
        <v>0</v>
      </c>
      <c r="AC957" s="490">
        <f t="shared" si="172"/>
        <v>0</v>
      </c>
      <c r="AD957" s="490">
        <f t="shared" si="172"/>
        <v>0</v>
      </c>
      <c r="AE957" s="490">
        <f t="shared" si="172"/>
        <v>0</v>
      </c>
      <c r="AF957" s="490">
        <f t="shared" si="172"/>
        <v>0</v>
      </c>
      <c r="AG957" s="490"/>
      <c r="AH957" s="193"/>
    </row>
    <row r="958" spans="1:34" x14ac:dyDescent="0.25">
      <c r="A958" s="193"/>
      <c r="B958" s="491"/>
      <c r="C958" s="500"/>
      <c r="D958" s="491"/>
      <c r="E958" s="491"/>
      <c r="F958" s="491"/>
      <c r="G958" s="491"/>
      <c r="H958" s="491"/>
      <c r="I958" s="491"/>
      <c r="J958" s="491"/>
      <c r="K958" s="491"/>
      <c r="L958" s="491"/>
      <c r="M958" s="491"/>
      <c r="N958" s="491"/>
      <c r="O958" s="491"/>
      <c r="P958" s="491"/>
      <c r="Q958" s="491"/>
      <c r="R958" s="213"/>
      <c r="S958" s="215"/>
      <c r="T958" s="216"/>
      <c r="U958" s="214"/>
      <c r="V958" s="491"/>
      <c r="W958" s="491"/>
      <c r="X958" s="491"/>
      <c r="Y958" s="491"/>
      <c r="Z958" s="491"/>
      <c r="AA958" s="491"/>
      <c r="AB958" s="491"/>
      <c r="AC958" s="491"/>
      <c r="AD958" s="491"/>
      <c r="AE958" s="491"/>
      <c r="AF958" s="491"/>
      <c r="AG958" s="491"/>
      <c r="AH958" s="193"/>
    </row>
    <row r="959" spans="1:34" x14ac:dyDescent="0.25">
      <c r="A959" s="193"/>
      <c r="B959" s="491"/>
      <c r="C959" s="500"/>
      <c r="D959" s="491"/>
      <c r="E959" s="491"/>
      <c r="F959" s="491"/>
      <c r="G959" s="491"/>
      <c r="H959" s="491"/>
      <c r="I959" s="491"/>
      <c r="J959" s="491"/>
      <c r="K959" s="491"/>
      <c r="L959" s="491"/>
      <c r="M959" s="491"/>
      <c r="N959" s="491"/>
      <c r="O959" s="491"/>
      <c r="P959" s="491"/>
      <c r="Q959" s="491"/>
      <c r="R959" s="217"/>
      <c r="S959" s="218"/>
      <c r="T959" s="218"/>
      <c r="U959" s="219"/>
      <c r="V959" s="491"/>
      <c r="W959" s="491"/>
      <c r="X959" s="491"/>
      <c r="Y959" s="491"/>
      <c r="Z959" s="491"/>
      <c r="AA959" s="491"/>
      <c r="AB959" s="491"/>
      <c r="AC959" s="491"/>
      <c r="AD959" s="491"/>
      <c r="AE959" s="491"/>
      <c r="AF959" s="491"/>
      <c r="AG959" s="491"/>
      <c r="AH959" s="193"/>
    </row>
    <row r="960" spans="1:34" ht="15.75" thickBot="1" x14ac:dyDescent="0.3">
      <c r="A960" s="193"/>
      <c r="B960" s="491"/>
      <c r="C960" s="500"/>
      <c r="D960" s="491"/>
      <c r="E960" s="491"/>
      <c r="F960" s="491"/>
      <c r="G960" s="491"/>
      <c r="H960" s="491"/>
      <c r="I960" s="491"/>
      <c r="J960" s="491"/>
      <c r="K960" s="491"/>
      <c r="L960" s="491"/>
      <c r="M960" s="491"/>
      <c r="N960" s="491"/>
      <c r="O960" s="491"/>
      <c r="P960" s="491"/>
      <c r="Q960" s="491"/>
      <c r="R960" s="213"/>
      <c r="S960" s="220"/>
      <c r="T960" s="220"/>
      <c r="U960" s="214"/>
      <c r="V960" s="491"/>
      <c r="W960" s="491"/>
      <c r="X960" s="491"/>
      <c r="Y960" s="491"/>
      <c r="Z960" s="491"/>
      <c r="AA960" s="491"/>
      <c r="AB960" s="491"/>
      <c r="AC960" s="491"/>
      <c r="AD960" s="491"/>
      <c r="AE960" s="491"/>
      <c r="AF960" s="491"/>
      <c r="AG960" s="491"/>
      <c r="AH960" s="193"/>
    </row>
    <row r="961" spans="1:34" x14ac:dyDescent="0.25">
      <c r="A961" s="193"/>
      <c r="B961" s="492"/>
      <c r="C961" s="501"/>
      <c r="D961" s="492"/>
      <c r="E961" s="492"/>
      <c r="F961" s="492"/>
      <c r="G961" s="492"/>
      <c r="H961" s="492"/>
      <c r="I961" s="492"/>
      <c r="J961" s="492"/>
      <c r="K961" s="492"/>
      <c r="L961" s="492"/>
      <c r="M961" s="492"/>
      <c r="N961" s="492"/>
      <c r="O961" s="492"/>
      <c r="P961" s="492"/>
      <c r="Q961" s="492"/>
      <c r="R961" s="221"/>
      <c r="S961" s="493">
        <f>L957/12</f>
        <v>9.25</v>
      </c>
      <c r="T961" s="493"/>
      <c r="U961" s="222"/>
      <c r="V961" s="492"/>
      <c r="W961" s="492"/>
      <c r="X961" s="492"/>
      <c r="Y961" s="492"/>
      <c r="Z961" s="492"/>
      <c r="AA961" s="492"/>
      <c r="AB961" s="492"/>
      <c r="AC961" s="492"/>
      <c r="AD961" s="492"/>
      <c r="AE961" s="492"/>
      <c r="AF961" s="492"/>
      <c r="AG961" s="492"/>
      <c r="AH961" s="193"/>
    </row>
    <row r="962" spans="1:34" x14ac:dyDescent="0.25">
      <c r="A962" s="193"/>
      <c r="B962" s="490"/>
      <c r="C962" s="499" t="s">
        <v>271</v>
      </c>
      <c r="D962" s="490">
        <v>5</v>
      </c>
      <c r="E962" s="490">
        <v>0.625</v>
      </c>
      <c r="F962" s="490"/>
      <c r="G962" s="490"/>
      <c r="H962" s="490"/>
      <c r="I962" s="490">
        <v>2</v>
      </c>
      <c r="J962" s="490">
        <v>2</v>
      </c>
      <c r="K962" s="490">
        <v>30</v>
      </c>
      <c r="L962" s="490">
        <v>30</v>
      </c>
      <c r="M962" s="490"/>
      <c r="N962" s="490"/>
      <c r="O962" s="490"/>
      <c r="P962" s="490"/>
      <c r="Q962" s="490"/>
      <c r="R962" s="213"/>
      <c r="S962" s="498"/>
      <c r="T962" s="498"/>
      <c r="U962" s="214"/>
      <c r="V962" s="490">
        <f>SUM(R962:U966)</f>
        <v>5</v>
      </c>
      <c r="W962" s="490">
        <f>+SUM(K962:Q966)</f>
        <v>60</v>
      </c>
      <c r="X962" s="490">
        <f>(+I962*J962*W962)/12</f>
        <v>20</v>
      </c>
      <c r="Y962" s="490">
        <f t="shared" ref="Y962:AF962" si="173">IF(Y$4=$D962,$X962*Y$5,0)</f>
        <v>0</v>
      </c>
      <c r="Z962" s="490">
        <f t="shared" si="173"/>
        <v>0</v>
      </c>
      <c r="AA962" s="490">
        <f t="shared" si="173"/>
        <v>20.86</v>
      </c>
      <c r="AB962" s="490">
        <f t="shared" si="173"/>
        <v>0</v>
      </c>
      <c r="AC962" s="490">
        <f t="shared" si="173"/>
        <v>0</v>
      </c>
      <c r="AD962" s="490">
        <f t="shared" si="173"/>
        <v>0</v>
      </c>
      <c r="AE962" s="490">
        <f t="shared" si="173"/>
        <v>0</v>
      </c>
      <c r="AF962" s="490">
        <f t="shared" si="173"/>
        <v>0</v>
      </c>
      <c r="AG962" s="490"/>
      <c r="AH962" s="193"/>
    </row>
    <row r="963" spans="1:34" x14ac:dyDescent="0.25">
      <c r="A963" s="193"/>
      <c r="B963" s="491"/>
      <c r="C963" s="500"/>
      <c r="D963" s="491"/>
      <c r="E963" s="491"/>
      <c r="F963" s="491"/>
      <c r="G963" s="491"/>
      <c r="H963" s="491"/>
      <c r="I963" s="491"/>
      <c r="J963" s="491"/>
      <c r="K963" s="491"/>
      <c r="L963" s="491"/>
      <c r="M963" s="491"/>
      <c r="N963" s="491"/>
      <c r="O963" s="491"/>
      <c r="P963" s="491"/>
      <c r="Q963" s="491"/>
      <c r="R963" s="213"/>
      <c r="S963" s="215"/>
      <c r="T963" s="216"/>
      <c r="U963" s="214"/>
      <c r="V963" s="491"/>
      <c r="W963" s="491"/>
      <c r="X963" s="491"/>
      <c r="Y963" s="491"/>
      <c r="Z963" s="491"/>
      <c r="AA963" s="491"/>
      <c r="AB963" s="491"/>
      <c r="AC963" s="491"/>
      <c r="AD963" s="491"/>
      <c r="AE963" s="491"/>
      <c r="AF963" s="491"/>
      <c r="AG963" s="491"/>
      <c r="AH963" s="193"/>
    </row>
    <row r="964" spans="1:34" x14ac:dyDescent="0.25">
      <c r="A964" s="193"/>
      <c r="B964" s="491"/>
      <c r="C964" s="500"/>
      <c r="D964" s="491"/>
      <c r="E964" s="491"/>
      <c r="F964" s="491"/>
      <c r="G964" s="491"/>
      <c r="H964" s="491"/>
      <c r="I964" s="491"/>
      <c r="J964" s="491"/>
      <c r="K964" s="491"/>
      <c r="L964" s="491"/>
      <c r="M964" s="491"/>
      <c r="N964" s="491"/>
      <c r="O964" s="491"/>
      <c r="P964" s="491"/>
      <c r="Q964" s="491"/>
      <c r="R964" s="217">
        <f>K962/12</f>
        <v>2.5</v>
      </c>
      <c r="S964" s="223"/>
      <c r="T964" s="195"/>
      <c r="U964" s="219"/>
      <c r="V964" s="491"/>
      <c r="W964" s="491"/>
      <c r="X964" s="491"/>
      <c r="Y964" s="491"/>
      <c r="Z964" s="491"/>
      <c r="AA964" s="491"/>
      <c r="AB964" s="491"/>
      <c r="AC964" s="491"/>
      <c r="AD964" s="491"/>
      <c r="AE964" s="491"/>
      <c r="AF964" s="491"/>
      <c r="AG964" s="491"/>
      <c r="AH964" s="193"/>
    </row>
    <row r="965" spans="1:34" ht="15.75" thickBot="1" x14ac:dyDescent="0.3">
      <c r="A965" s="193"/>
      <c r="B965" s="491"/>
      <c r="C965" s="500"/>
      <c r="D965" s="491"/>
      <c r="E965" s="491"/>
      <c r="F965" s="491"/>
      <c r="G965" s="491"/>
      <c r="H965" s="491"/>
      <c r="I965" s="491"/>
      <c r="J965" s="491"/>
      <c r="K965" s="491"/>
      <c r="L965" s="491"/>
      <c r="M965" s="491"/>
      <c r="N965" s="491"/>
      <c r="O965" s="491"/>
      <c r="P965" s="491"/>
      <c r="Q965" s="491"/>
      <c r="R965" s="213"/>
      <c r="S965" s="224"/>
      <c r="T965" s="220"/>
      <c r="U965" s="214"/>
      <c r="V965" s="491"/>
      <c r="W965" s="491"/>
      <c r="X965" s="491"/>
      <c r="Y965" s="491"/>
      <c r="Z965" s="491"/>
      <c r="AA965" s="491"/>
      <c r="AB965" s="491"/>
      <c r="AC965" s="491"/>
      <c r="AD965" s="491"/>
      <c r="AE965" s="491"/>
      <c r="AF965" s="491"/>
      <c r="AG965" s="491"/>
      <c r="AH965" s="193"/>
    </row>
    <row r="966" spans="1:34" x14ac:dyDescent="0.25">
      <c r="A966" s="193"/>
      <c r="B966" s="492"/>
      <c r="C966" s="501"/>
      <c r="D966" s="492"/>
      <c r="E966" s="492"/>
      <c r="F966" s="492"/>
      <c r="G966" s="492"/>
      <c r="H966" s="492"/>
      <c r="I966" s="492"/>
      <c r="J966" s="492"/>
      <c r="K966" s="492"/>
      <c r="L966" s="492"/>
      <c r="M966" s="492"/>
      <c r="N966" s="492"/>
      <c r="O966" s="492"/>
      <c r="P966" s="492"/>
      <c r="Q966" s="492"/>
      <c r="R966" s="221"/>
      <c r="S966" s="493">
        <f>L962/12</f>
        <v>2.5</v>
      </c>
      <c r="T966" s="493"/>
      <c r="U966" s="222"/>
      <c r="V966" s="492"/>
      <c r="W966" s="492"/>
      <c r="X966" s="492"/>
      <c r="Y966" s="492"/>
      <c r="Z966" s="492"/>
      <c r="AA966" s="492"/>
      <c r="AB966" s="492"/>
      <c r="AC966" s="492"/>
      <c r="AD966" s="492"/>
      <c r="AE966" s="492"/>
      <c r="AF966" s="492"/>
      <c r="AG966" s="492"/>
      <c r="AH966" s="193"/>
    </row>
    <row r="967" spans="1:34" x14ac:dyDescent="0.25">
      <c r="A967" s="193"/>
      <c r="B967" s="490"/>
      <c r="C967" s="490" t="s">
        <v>277</v>
      </c>
      <c r="D967" s="490">
        <v>5</v>
      </c>
      <c r="E967" s="490">
        <v>0.625</v>
      </c>
      <c r="F967" s="494">
        <v>16</v>
      </c>
      <c r="G967" s="229"/>
      <c r="H967" s="490"/>
      <c r="I967" s="490">
        <f>ROUNDUP(G957/F967,0)</f>
        <v>8</v>
      </c>
      <c r="J967" s="490">
        <v>1</v>
      </c>
      <c r="K967" s="490">
        <v>6</v>
      </c>
      <c r="L967" s="490">
        <f>4*12-2</f>
        <v>46</v>
      </c>
      <c r="M967" s="490">
        <f>11*12</f>
        <v>132</v>
      </c>
      <c r="N967" s="490"/>
      <c r="O967" s="490"/>
      <c r="P967" s="490"/>
      <c r="Q967" s="490"/>
      <c r="R967" s="213"/>
      <c r="S967" s="498"/>
      <c r="T967" s="498"/>
      <c r="U967" s="214"/>
      <c r="V967" s="490">
        <f>SUM(R967:U971)</f>
        <v>15.333333333333334</v>
      </c>
      <c r="W967" s="490">
        <f>+SUM(K967:Q971)</f>
        <v>184</v>
      </c>
      <c r="X967" s="490">
        <f>(+I967*J967*W967)/12</f>
        <v>122.66666666666667</v>
      </c>
      <c r="Y967" s="490">
        <f t="shared" ref="Y967:AF967" si="174">IF(Y$4=$D967,$X967*Y$5,0)</f>
        <v>0</v>
      </c>
      <c r="Z967" s="490">
        <f t="shared" si="174"/>
        <v>0</v>
      </c>
      <c r="AA967" s="490">
        <f t="shared" si="174"/>
        <v>127.94133333333333</v>
      </c>
      <c r="AB967" s="490">
        <f t="shared" si="174"/>
        <v>0</v>
      </c>
      <c r="AC967" s="490">
        <f t="shared" si="174"/>
        <v>0</v>
      </c>
      <c r="AD967" s="490">
        <f t="shared" si="174"/>
        <v>0</v>
      </c>
      <c r="AE967" s="490">
        <f t="shared" si="174"/>
        <v>0</v>
      </c>
      <c r="AF967" s="490">
        <f t="shared" si="174"/>
        <v>0</v>
      </c>
      <c r="AG967" s="490"/>
      <c r="AH967" s="193"/>
    </row>
    <row r="968" spans="1:34" x14ac:dyDescent="0.25">
      <c r="A968" s="193"/>
      <c r="B968" s="491"/>
      <c r="C968" s="491"/>
      <c r="D968" s="491"/>
      <c r="E968" s="491"/>
      <c r="F968" s="495"/>
      <c r="G968" s="230"/>
      <c r="H968" s="491"/>
      <c r="I968" s="491"/>
      <c r="J968" s="491"/>
      <c r="K968" s="491"/>
      <c r="L968" s="491"/>
      <c r="M968" s="491"/>
      <c r="N968" s="491"/>
      <c r="O968" s="491"/>
      <c r="P968" s="491"/>
      <c r="Q968" s="491"/>
      <c r="R968" s="213"/>
      <c r="S968" s="215"/>
      <c r="T968" s="216"/>
      <c r="U968" s="214"/>
      <c r="V968" s="491"/>
      <c r="W968" s="491"/>
      <c r="X968" s="491"/>
      <c r="Y968" s="491"/>
      <c r="Z968" s="491"/>
      <c r="AA968" s="491"/>
      <c r="AB968" s="491"/>
      <c r="AC968" s="491"/>
      <c r="AD968" s="491"/>
      <c r="AE968" s="491"/>
      <c r="AF968" s="491"/>
      <c r="AG968" s="491"/>
      <c r="AH968" s="193"/>
    </row>
    <row r="969" spans="1:34" x14ac:dyDescent="0.25">
      <c r="A969" s="193"/>
      <c r="B969" s="491"/>
      <c r="C969" s="491"/>
      <c r="D969" s="491"/>
      <c r="E969" s="491"/>
      <c r="F969" s="495"/>
      <c r="G969" s="230"/>
      <c r="H969" s="491"/>
      <c r="I969" s="491"/>
      <c r="J969" s="491"/>
      <c r="K969" s="491"/>
      <c r="L969" s="491"/>
      <c r="M969" s="491"/>
      <c r="N969" s="491"/>
      <c r="O969" s="491"/>
      <c r="P969" s="491"/>
      <c r="Q969" s="491"/>
      <c r="R969" s="225">
        <f>K967/12</f>
        <v>0.5</v>
      </c>
      <c r="S969" s="218"/>
      <c r="T969" s="218"/>
      <c r="U969" s="219"/>
      <c r="V969" s="491"/>
      <c r="W969" s="491"/>
      <c r="X969" s="491"/>
      <c r="Y969" s="491"/>
      <c r="Z969" s="491"/>
      <c r="AA969" s="491"/>
      <c r="AB969" s="491"/>
      <c r="AC969" s="491"/>
      <c r="AD969" s="491"/>
      <c r="AE969" s="491"/>
      <c r="AF969" s="491"/>
      <c r="AG969" s="491"/>
      <c r="AH969" s="193"/>
    </row>
    <row r="970" spans="1:34" ht="15.75" thickBot="1" x14ac:dyDescent="0.3">
      <c r="A970" s="193"/>
      <c r="B970" s="491"/>
      <c r="C970" s="491"/>
      <c r="D970" s="491"/>
      <c r="E970" s="491"/>
      <c r="F970" s="495"/>
      <c r="G970" s="230"/>
      <c r="H970" s="491"/>
      <c r="I970" s="491"/>
      <c r="J970" s="491"/>
      <c r="K970" s="491"/>
      <c r="L970" s="491"/>
      <c r="M970" s="491"/>
      <c r="N970" s="491"/>
      <c r="O970" s="491"/>
      <c r="P970" s="491"/>
      <c r="Q970" s="491"/>
      <c r="R970" s="226"/>
      <c r="S970" s="220"/>
      <c r="T970" s="220"/>
      <c r="U970" s="214"/>
      <c r="V970" s="491"/>
      <c r="W970" s="491"/>
      <c r="X970" s="491"/>
      <c r="Y970" s="491"/>
      <c r="Z970" s="491"/>
      <c r="AA970" s="491"/>
      <c r="AB970" s="491"/>
      <c r="AC970" s="491"/>
      <c r="AD970" s="491"/>
      <c r="AE970" s="491"/>
      <c r="AF970" s="491"/>
      <c r="AG970" s="491"/>
      <c r="AH970" s="193"/>
    </row>
    <row r="971" spans="1:34" x14ac:dyDescent="0.25">
      <c r="A971" s="193"/>
      <c r="B971" s="492"/>
      <c r="C971" s="492"/>
      <c r="D971" s="491"/>
      <c r="E971" s="491"/>
      <c r="F971" s="496"/>
      <c r="G971" s="231"/>
      <c r="H971" s="492"/>
      <c r="I971" s="492"/>
      <c r="J971" s="492"/>
      <c r="K971" s="492"/>
      <c r="L971" s="492"/>
      <c r="M971" s="492"/>
      <c r="N971" s="492"/>
      <c r="O971" s="492"/>
      <c r="P971" s="492"/>
      <c r="Q971" s="492"/>
      <c r="R971" s="221"/>
      <c r="S971" s="493">
        <f>+SUM(L967:M971)/12</f>
        <v>14.833333333333334</v>
      </c>
      <c r="T971" s="493"/>
      <c r="U971" s="222"/>
      <c r="V971" s="492"/>
      <c r="W971" s="492"/>
      <c r="X971" s="492"/>
      <c r="Y971" s="492"/>
      <c r="Z971" s="492"/>
      <c r="AA971" s="492"/>
      <c r="AB971" s="492"/>
      <c r="AC971" s="492"/>
      <c r="AD971" s="492"/>
      <c r="AE971" s="492"/>
      <c r="AF971" s="492"/>
      <c r="AG971" s="492"/>
      <c r="AH971" s="193"/>
    </row>
    <row r="972" spans="1:34" x14ac:dyDescent="0.25">
      <c r="A972" s="193"/>
      <c r="B972" s="490"/>
      <c r="C972" s="490" t="s">
        <v>286</v>
      </c>
      <c r="D972" s="490">
        <v>5</v>
      </c>
      <c r="E972" s="490">
        <v>0.625</v>
      </c>
      <c r="F972" s="494">
        <v>16</v>
      </c>
      <c r="G972" s="229"/>
      <c r="H972" s="490"/>
      <c r="I972" s="490">
        <f>ROUNDUP(M967/F972,0)</f>
        <v>9</v>
      </c>
      <c r="J972" s="490">
        <v>1</v>
      </c>
      <c r="K972" s="490"/>
      <c r="L972" s="490">
        <f>G955-2-2</f>
        <v>111</v>
      </c>
      <c r="M972" s="490"/>
      <c r="N972" s="490"/>
      <c r="O972" s="490"/>
      <c r="P972" s="490"/>
      <c r="Q972" s="490"/>
      <c r="R972" s="213"/>
      <c r="S972" s="498"/>
      <c r="T972" s="498"/>
      <c r="U972" s="214"/>
      <c r="V972" s="490">
        <f>SUM(R972:U976)</f>
        <v>9.25</v>
      </c>
      <c r="W972" s="490">
        <f>+SUM(K972:Q976)</f>
        <v>111</v>
      </c>
      <c r="X972" s="490">
        <f>(+I972*J972*W972)/12</f>
        <v>83.25</v>
      </c>
      <c r="Y972" s="490">
        <f t="shared" ref="Y972:AF972" si="175">IF(Y$4=$D972,$X972*Y$5,0)</f>
        <v>0</v>
      </c>
      <c r="Z972" s="490">
        <f t="shared" si="175"/>
        <v>0</v>
      </c>
      <c r="AA972" s="490">
        <f t="shared" si="175"/>
        <v>86.82974999999999</v>
      </c>
      <c r="AB972" s="490">
        <f t="shared" si="175"/>
        <v>0</v>
      </c>
      <c r="AC972" s="490">
        <f t="shared" si="175"/>
        <v>0</v>
      </c>
      <c r="AD972" s="490">
        <f t="shared" si="175"/>
        <v>0</v>
      </c>
      <c r="AE972" s="490">
        <f t="shared" si="175"/>
        <v>0</v>
      </c>
      <c r="AF972" s="490">
        <f t="shared" si="175"/>
        <v>0</v>
      </c>
      <c r="AG972" s="490"/>
      <c r="AH972" s="193"/>
    </row>
    <row r="973" spans="1:34" x14ac:dyDescent="0.25">
      <c r="A973" s="193"/>
      <c r="B973" s="491"/>
      <c r="C973" s="491"/>
      <c r="D973" s="491"/>
      <c r="E973" s="491"/>
      <c r="F973" s="495"/>
      <c r="G973" s="230"/>
      <c r="H973" s="491"/>
      <c r="I973" s="491"/>
      <c r="J973" s="491"/>
      <c r="K973" s="491"/>
      <c r="L973" s="491"/>
      <c r="M973" s="491"/>
      <c r="N973" s="491"/>
      <c r="O973" s="491"/>
      <c r="P973" s="491"/>
      <c r="Q973" s="491"/>
      <c r="R973" s="213"/>
      <c r="S973" s="215"/>
      <c r="T973" s="216"/>
      <c r="U973" s="214"/>
      <c r="V973" s="491"/>
      <c r="W973" s="491"/>
      <c r="X973" s="491"/>
      <c r="Y973" s="491"/>
      <c r="Z973" s="491"/>
      <c r="AA973" s="491"/>
      <c r="AB973" s="491"/>
      <c r="AC973" s="491"/>
      <c r="AD973" s="491"/>
      <c r="AE973" s="491"/>
      <c r="AF973" s="491"/>
      <c r="AG973" s="491"/>
      <c r="AH973" s="193"/>
    </row>
    <row r="974" spans="1:34" x14ac:dyDescent="0.25">
      <c r="A974" s="193"/>
      <c r="B974" s="491"/>
      <c r="C974" s="491"/>
      <c r="D974" s="491"/>
      <c r="E974" s="491"/>
      <c r="F974" s="495"/>
      <c r="G974" s="230"/>
      <c r="H974" s="491"/>
      <c r="I974" s="491"/>
      <c r="J974" s="491"/>
      <c r="K974" s="491"/>
      <c r="L974" s="491"/>
      <c r="M974" s="491"/>
      <c r="N974" s="491"/>
      <c r="O974" s="491"/>
      <c r="P974" s="491"/>
      <c r="Q974" s="497"/>
      <c r="R974" s="217"/>
      <c r="S974" s="218"/>
      <c r="T974" s="218"/>
      <c r="U974" s="219"/>
      <c r="V974" s="491"/>
      <c r="W974" s="491"/>
      <c r="X974" s="491"/>
      <c r="Y974" s="491"/>
      <c r="Z974" s="491"/>
      <c r="AA974" s="491"/>
      <c r="AB974" s="491"/>
      <c r="AC974" s="491"/>
      <c r="AD974" s="491"/>
      <c r="AE974" s="491"/>
      <c r="AF974" s="491"/>
      <c r="AG974" s="491"/>
      <c r="AH974" s="193"/>
    </row>
    <row r="975" spans="1:34" ht="15.75" thickBot="1" x14ac:dyDescent="0.3">
      <c r="A975" s="193"/>
      <c r="B975" s="491"/>
      <c r="C975" s="491"/>
      <c r="D975" s="491"/>
      <c r="E975" s="491"/>
      <c r="F975" s="495"/>
      <c r="G975" s="230"/>
      <c r="H975" s="491"/>
      <c r="I975" s="491"/>
      <c r="J975" s="491"/>
      <c r="K975" s="491"/>
      <c r="L975" s="491"/>
      <c r="M975" s="491"/>
      <c r="N975" s="491"/>
      <c r="O975" s="491"/>
      <c r="P975" s="491"/>
      <c r="Q975" s="497"/>
      <c r="R975" s="213"/>
      <c r="S975" s="220"/>
      <c r="T975" s="220"/>
      <c r="U975" s="214"/>
      <c r="V975" s="491"/>
      <c r="W975" s="491"/>
      <c r="X975" s="491"/>
      <c r="Y975" s="491"/>
      <c r="Z975" s="491"/>
      <c r="AA975" s="491"/>
      <c r="AB975" s="491"/>
      <c r="AC975" s="491"/>
      <c r="AD975" s="491"/>
      <c r="AE975" s="491"/>
      <c r="AF975" s="491"/>
      <c r="AG975" s="491"/>
      <c r="AH975" s="193"/>
    </row>
    <row r="976" spans="1:34" x14ac:dyDescent="0.25">
      <c r="A976" s="193"/>
      <c r="B976" s="492"/>
      <c r="C976" s="492"/>
      <c r="D976" s="492"/>
      <c r="E976" s="492"/>
      <c r="F976" s="496"/>
      <c r="G976" s="231"/>
      <c r="H976" s="492"/>
      <c r="I976" s="492"/>
      <c r="J976" s="492"/>
      <c r="K976" s="492"/>
      <c r="L976" s="492"/>
      <c r="M976" s="492"/>
      <c r="N976" s="492"/>
      <c r="O976" s="492"/>
      <c r="P976" s="492"/>
      <c r="Q976" s="492"/>
      <c r="R976" s="221"/>
      <c r="S976" s="493">
        <f>L972/12</f>
        <v>9.25</v>
      </c>
      <c r="T976" s="493"/>
      <c r="U976" s="222"/>
      <c r="V976" s="492"/>
      <c r="W976" s="492"/>
      <c r="X976" s="492"/>
      <c r="Y976" s="492"/>
      <c r="Z976" s="492"/>
      <c r="AA976" s="492"/>
      <c r="AB976" s="492"/>
      <c r="AC976" s="492"/>
      <c r="AD976" s="492"/>
      <c r="AE976" s="492"/>
      <c r="AF976" s="492"/>
      <c r="AG976" s="492"/>
      <c r="AH976" s="193"/>
    </row>
    <row r="977" spans="1:34" ht="15.75" thickBot="1" x14ac:dyDescent="0.3">
      <c r="A977" s="195"/>
      <c r="B977" s="200" t="s">
        <v>282</v>
      </c>
      <c r="C977" s="199" t="s">
        <v>379</v>
      </c>
      <c r="D977" s="197">
        <v>60</v>
      </c>
      <c r="E977" s="201">
        <v>8</v>
      </c>
      <c r="F977" s="202"/>
      <c r="G977" s="202">
        <f>(7*12)+1</f>
        <v>85</v>
      </c>
      <c r="H977" s="202">
        <v>16</v>
      </c>
      <c r="I977" s="202">
        <v>12</v>
      </c>
      <c r="J977" s="202">
        <v>12</v>
      </c>
      <c r="K977" s="199"/>
      <c r="L977" s="199"/>
      <c r="M977" s="199"/>
      <c r="N977" s="199"/>
      <c r="O977" s="199"/>
      <c r="P977" s="199"/>
      <c r="Q977" s="198"/>
      <c r="R977" s="196"/>
      <c r="S977" s="196"/>
      <c r="T977" s="196"/>
      <c r="U977" s="196"/>
      <c r="V977" s="203"/>
      <c r="W977" s="202"/>
      <c r="X977" s="202"/>
      <c r="Y977" s="199"/>
      <c r="Z977" s="199"/>
      <c r="AA977" s="199"/>
      <c r="AB977" s="199"/>
      <c r="AC977" s="199"/>
      <c r="AD977" s="199"/>
      <c r="AE977" s="199"/>
      <c r="AF977" s="199"/>
      <c r="AG977" s="199"/>
      <c r="AH977" s="195"/>
    </row>
    <row r="978" spans="1:34" ht="15.75" thickBot="1" x14ac:dyDescent="0.3">
      <c r="A978" s="193"/>
      <c r="B978" s="204"/>
      <c r="C978" s="205"/>
      <c r="D978" s="194"/>
      <c r="E978" s="206"/>
      <c r="F978" s="205"/>
      <c r="G978" s="205"/>
      <c r="H978" s="207">
        <v>3</v>
      </c>
      <c r="I978" s="207">
        <v>2</v>
      </c>
      <c r="J978" s="205"/>
      <c r="K978" s="205"/>
      <c r="L978" s="205"/>
      <c r="M978" s="205"/>
      <c r="N978" s="205"/>
      <c r="O978" s="205"/>
      <c r="P978" s="205"/>
      <c r="Q978" s="208"/>
      <c r="R978" s="209"/>
      <c r="S978" s="210"/>
      <c r="T978" s="210"/>
      <c r="U978" s="211"/>
      <c r="V978" s="212"/>
      <c r="W978" s="204"/>
      <c r="X978" s="204"/>
      <c r="Y978" s="205"/>
      <c r="Z978" s="205"/>
      <c r="AA978" s="205"/>
      <c r="AB978" s="205"/>
      <c r="AC978" s="205"/>
      <c r="AD978" s="205"/>
      <c r="AE978" s="205"/>
      <c r="AF978" s="205"/>
      <c r="AG978" s="205"/>
      <c r="AH978" s="193"/>
    </row>
    <row r="979" spans="1:34" x14ac:dyDescent="0.25">
      <c r="A979" s="193"/>
      <c r="B979" s="490"/>
      <c r="C979" s="499" t="s">
        <v>265</v>
      </c>
      <c r="D979" s="490">
        <v>5</v>
      </c>
      <c r="E979" s="490">
        <v>0.625</v>
      </c>
      <c r="F979" s="490"/>
      <c r="G979" s="490">
        <f>G977</f>
        <v>85</v>
      </c>
      <c r="H979" s="490"/>
      <c r="I979" s="490">
        <v>2</v>
      </c>
      <c r="J979" s="490">
        <v>1</v>
      </c>
      <c r="K979" s="490"/>
      <c r="L979" s="490">
        <f>G977-2-2</f>
        <v>81</v>
      </c>
      <c r="M979" s="490"/>
      <c r="N979" s="490"/>
      <c r="O979" s="490"/>
      <c r="P979" s="490"/>
      <c r="Q979" s="490"/>
      <c r="R979" s="213"/>
      <c r="S979" s="502"/>
      <c r="T979" s="502"/>
      <c r="U979" s="214"/>
      <c r="V979" s="490">
        <f>SUM(R979:U983)</f>
        <v>6.75</v>
      </c>
      <c r="W979" s="490">
        <f>+SUM(K979:Q983)</f>
        <v>81</v>
      </c>
      <c r="X979" s="490">
        <f>(+I979*J979*W979)/12</f>
        <v>13.5</v>
      </c>
      <c r="Y979" s="490">
        <f>IF(Y$4=$D979,$X979*Y$5,0)</f>
        <v>0</v>
      </c>
      <c r="Z979" s="490">
        <f t="shared" ref="Z979:AF979" si="176">IF(Z$4=$D979,$X979*Z$5,0)</f>
        <v>0</v>
      </c>
      <c r="AA979" s="490">
        <f t="shared" si="176"/>
        <v>14.080499999999999</v>
      </c>
      <c r="AB979" s="490">
        <f t="shared" si="176"/>
        <v>0</v>
      </c>
      <c r="AC979" s="490">
        <f t="shared" si="176"/>
        <v>0</v>
      </c>
      <c r="AD979" s="490">
        <f t="shared" si="176"/>
        <v>0</v>
      </c>
      <c r="AE979" s="490">
        <f t="shared" si="176"/>
        <v>0</v>
      </c>
      <c r="AF979" s="490">
        <f t="shared" si="176"/>
        <v>0</v>
      </c>
      <c r="AG979" s="490"/>
      <c r="AH979" s="193"/>
    </row>
    <row r="980" spans="1:34" x14ac:dyDescent="0.25">
      <c r="A980" s="193"/>
      <c r="B980" s="491"/>
      <c r="C980" s="500"/>
      <c r="D980" s="491"/>
      <c r="E980" s="491"/>
      <c r="F980" s="491"/>
      <c r="G980" s="491"/>
      <c r="H980" s="491"/>
      <c r="I980" s="491"/>
      <c r="J980" s="491"/>
      <c r="K980" s="491"/>
      <c r="L980" s="491"/>
      <c r="M980" s="491"/>
      <c r="N980" s="491"/>
      <c r="O980" s="491"/>
      <c r="P980" s="491"/>
      <c r="Q980" s="491"/>
      <c r="R980" s="213"/>
      <c r="S980" s="215"/>
      <c r="T980" s="216"/>
      <c r="U980" s="214"/>
      <c r="V980" s="491"/>
      <c r="W980" s="491"/>
      <c r="X980" s="491"/>
      <c r="Y980" s="491"/>
      <c r="Z980" s="491"/>
      <c r="AA980" s="491"/>
      <c r="AB980" s="491"/>
      <c r="AC980" s="491"/>
      <c r="AD980" s="491"/>
      <c r="AE980" s="491"/>
      <c r="AF980" s="491"/>
      <c r="AG980" s="491"/>
      <c r="AH980" s="193"/>
    </row>
    <row r="981" spans="1:34" x14ac:dyDescent="0.25">
      <c r="A981" s="193"/>
      <c r="B981" s="491"/>
      <c r="C981" s="500"/>
      <c r="D981" s="491"/>
      <c r="E981" s="491"/>
      <c r="F981" s="491"/>
      <c r="G981" s="491"/>
      <c r="H981" s="491"/>
      <c r="I981" s="491"/>
      <c r="J981" s="491"/>
      <c r="K981" s="491"/>
      <c r="L981" s="491"/>
      <c r="M981" s="491"/>
      <c r="N981" s="491"/>
      <c r="O981" s="491"/>
      <c r="P981" s="491"/>
      <c r="Q981" s="491"/>
      <c r="R981" s="217"/>
      <c r="S981" s="218"/>
      <c r="T981" s="218"/>
      <c r="U981" s="219"/>
      <c r="V981" s="491"/>
      <c r="W981" s="491"/>
      <c r="X981" s="491"/>
      <c r="Y981" s="491"/>
      <c r="Z981" s="491"/>
      <c r="AA981" s="491"/>
      <c r="AB981" s="491"/>
      <c r="AC981" s="491"/>
      <c r="AD981" s="491"/>
      <c r="AE981" s="491"/>
      <c r="AF981" s="491"/>
      <c r="AG981" s="491"/>
      <c r="AH981" s="193"/>
    </row>
    <row r="982" spans="1:34" ht="15.75" thickBot="1" x14ac:dyDescent="0.3">
      <c r="A982" s="193"/>
      <c r="B982" s="491"/>
      <c r="C982" s="500"/>
      <c r="D982" s="491"/>
      <c r="E982" s="491"/>
      <c r="F982" s="491"/>
      <c r="G982" s="491"/>
      <c r="H982" s="491"/>
      <c r="I982" s="491"/>
      <c r="J982" s="491"/>
      <c r="K982" s="491"/>
      <c r="L982" s="491"/>
      <c r="M982" s="491"/>
      <c r="N982" s="491"/>
      <c r="O982" s="491"/>
      <c r="P982" s="491"/>
      <c r="Q982" s="491"/>
      <c r="R982" s="213"/>
      <c r="S982" s="220"/>
      <c r="T982" s="220"/>
      <c r="U982" s="214"/>
      <c r="V982" s="491"/>
      <c r="W982" s="491"/>
      <c r="X982" s="491"/>
      <c r="Y982" s="491"/>
      <c r="Z982" s="491"/>
      <c r="AA982" s="491"/>
      <c r="AB982" s="491"/>
      <c r="AC982" s="491"/>
      <c r="AD982" s="491"/>
      <c r="AE982" s="491"/>
      <c r="AF982" s="491"/>
      <c r="AG982" s="491"/>
      <c r="AH982" s="193"/>
    </row>
    <row r="983" spans="1:34" x14ac:dyDescent="0.25">
      <c r="A983" s="193"/>
      <c r="B983" s="492"/>
      <c r="C983" s="501"/>
      <c r="D983" s="492"/>
      <c r="E983" s="492"/>
      <c r="F983" s="492"/>
      <c r="G983" s="492"/>
      <c r="H983" s="492"/>
      <c r="I983" s="492"/>
      <c r="J983" s="492"/>
      <c r="K983" s="492"/>
      <c r="L983" s="492"/>
      <c r="M983" s="492"/>
      <c r="N983" s="492"/>
      <c r="O983" s="492"/>
      <c r="P983" s="492"/>
      <c r="Q983" s="492"/>
      <c r="R983" s="221"/>
      <c r="S983" s="493">
        <f>L979/12</f>
        <v>6.75</v>
      </c>
      <c r="T983" s="493"/>
      <c r="U983" s="222"/>
      <c r="V983" s="492"/>
      <c r="W983" s="492"/>
      <c r="X983" s="492"/>
      <c r="Y983" s="492"/>
      <c r="Z983" s="492"/>
      <c r="AA983" s="492"/>
      <c r="AB983" s="492"/>
      <c r="AC983" s="492"/>
      <c r="AD983" s="492"/>
      <c r="AE983" s="492"/>
      <c r="AF983" s="492"/>
      <c r="AG983" s="492"/>
      <c r="AH983" s="193"/>
    </row>
    <row r="984" spans="1:34" x14ac:dyDescent="0.25">
      <c r="A984" s="193"/>
      <c r="B984" s="490"/>
      <c r="C984" s="499" t="s">
        <v>271</v>
      </c>
      <c r="D984" s="490">
        <v>5</v>
      </c>
      <c r="E984" s="490">
        <v>0.625</v>
      </c>
      <c r="F984" s="490"/>
      <c r="G984" s="490"/>
      <c r="H984" s="490"/>
      <c r="I984" s="490">
        <v>2</v>
      </c>
      <c r="J984" s="490">
        <v>2</v>
      </c>
      <c r="K984" s="490">
        <v>30</v>
      </c>
      <c r="L984" s="490">
        <v>30</v>
      </c>
      <c r="M984" s="490"/>
      <c r="N984" s="490"/>
      <c r="O984" s="490"/>
      <c r="P984" s="490"/>
      <c r="Q984" s="490"/>
      <c r="R984" s="213"/>
      <c r="S984" s="498"/>
      <c r="T984" s="498"/>
      <c r="U984" s="214"/>
      <c r="V984" s="490">
        <f>SUM(R984:U988)</f>
        <v>5</v>
      </c>
      <c r="W984" s="490">
        <f>+SUM(K984:Q988)</f>
        <v>60</v>
      </c>
      <c r="X984" s="490">
        <f>(+I984*J984*W984)/12</f>
        <v>20</v>
      </c>
      <c r="Y984" s="490">
        <f t="shared" ref="Y984:AF984" si="177">IF(Y$4=$D984,$X984*Y$5,0)</f>
        <v>0</v>
      </c>
      <c r="Z984" s="490">
        <f t="shared" si="177"/>
        <v>0</v>
      </c>
      <c r="AA984" s="490">
        <f t="shared" si="177"/>
        <v>20.86</v>
      </c>
      <c r="AB984" s="490">
        <f t="shared" si="177"/>
        <v>0</v>
      </c>
      <c r="AC984" s="490">
        <f t="shared" si="177"/>
        <v>0</v>
      </c>
      <c r="AD984" s="490">
        <f t="shared" si="177"/>
        <v>0</v>
      </c>
      <c r="AE984" s="490">
        <f t="shared" si="177"/>
        <v>0</v>
      </c>
      <c r="AF984" s="490">
        <f t="shared" si="177"/>
        <v>0</v>
      </c>
      <c r="AG984" s="490"/>
      <c r="AH984" s="193"/>
    </row>
    <row r="985" spans="1:34" x14ac:dyDescent="0.25">
      <c r="A985" s="193"/>
      <c r="B985" s="491"/>
      <c r="C985" s="500"/>
      <c r="D985" s="491"/>
      <c r="E985" s="491"/>
      <c r="F985" s="491"/>
      <c r="G985" s="491"/>
      <c r="H985" s="491"/>
      <c r="I985" s="491"/>
      <c r="J985" s="491"/>
      <c r="K985" s="491"/>
      <c r="L985" s="491"/>
      <c r="M985" s="491"/>
      <c r="N985" s="491"/>
      <c r="O985" s="491"/>
      <c r="P985" s="491"/>
      <c r="Q985" s="491"/>
      <c r="R985" s="213"/>
      <c r="S985" s="215"/>
      <c r="T985" s="216"/>
      <c r="U985" s="214"/>
      <c r="V985" s="491"/>
      <c r="W985" s="491"/>
      <c r="X985" s="491"/>
      <c r="Y985" s="491"/>
      <c r="Z985" s="491"/>
      <c r="AA985" s="491"/>
      <c r="AB985" s="491"/>
      <c r="AC985" s="491"/>
      <c r="AD985" s="491"/>
      <c r="AE985" s="491"/>
      <c r="AF985" s="491"/>
      <c r="AG985" s="491"/>
      <c r="AH985" s="193"/>
    </row>
    <row r="986" spans="1:34" x14ac:dyDescent="0.25">
      <c r="A986" s="193"/>
      <c r="B986" s="491"/>
      <c r="C986" s="500"/>
      <c r="D986" s="491"/>
      <c r="E986" s="491"/>
      <c r="F986" s="491"/>
      <c r="G986" s="491"/>
      <c r="H986" s="491"/>
      <c r="I986" s="491"/>
      <c r="J986" s="491"/>
      <c r="K986" s="491"/>
      <c r="L986" s="491"/>
      <c r="M986" s="491"/>
      <c r="N986" s="491"/>
      <c r="O986" s="491"/>
      <c r="P986" s="491"/>
      <c r="Q986" s="491"/>
      <c r="R986" s="217">
        <f>K984/12</f>
        <v>2.5</v>
      </c>
      <c r="S986" s="223"/>
      <c r="T986" s="195"/>
      <c r="U986" s="219"/>
      <c r="V986" s="491"/>
      <c r="W986" s="491"/>
      <c r="X986" s="491"/>
      <c r="Y986" s="491"/>
      <c r="Z986" s="491"/>
      <c r="AA986" s="491"/>
      <c r="AB986" s="491"/>
      <c r="AC986" s="491"/>
      <c r="AD986" s="491"/>
      <c r="AE986" s="491"/>
      <c r="AF986" s="491"/>
      <c r="AG986" s="491"/>
      <c r="AH986" s="193"/>
    </row>
    <row r="987" spans="1:34" ht="15.75" thickBot="1" x14ac:dyDescent="0.3">
      <c r="A987" s="193"/>
      <c r="B987" s="491"/>
      <c r="C987" s="500"/>
      <c r="D987" s="491"/>
      <c r="E987" s="491"/>
      <c r="F987" s="491"/>
      <c r="G987" s="491"/>
      <c r="H987" s="491"/>
      <c r="I987" s="491"/>
      <c r="J987" s="491"/>
      <c r="K987" s="491"/>
      <c r="L987" s="491"/>
      <c r="M987" s="491"/>
      <c r="N987" s="491"/>
      <c r="O987" s="491"/>
      <c r="P987" s="491"/>
      <c r="Q987" s="491"/>
      <c r="R987" s="213"/>
      <c r="S987" s="224"/>
      <c r="T987" s="220"/>
      <c r="U987" s="214"/>
      <c r="V987" s="491"/>
      <c r="W987" s="491"/>
      <c r="X987" s="491"/>
      <c r="Y987" s="491"/>
      <c r="Z987" s="491"/>
      <c r="AA987" s="491"/>
      <c r="AB987" s="491"/>
      <c r="AC987" s="491"/>
      <c r="AD987" s="491"/>
      <c r="AE987" s="491"/>
      <c r="AF987" s="491"/>
      <c r="AG987" s="491"/>
      <c r="AH987" s="193"/>
    </row>
    <row r="988" spans="1:34" x14ac:dyDescent="0.25">
      <c r="A988" s="193"/>
      <c r="B988" s="492"/>
      <c r="C988" s="501"/>
      <c r="D988" s="492"/>
      <c r="E988" s="492"/>
      <c r="F988" s="492"/>
      <c r="G988" s="492"/>
      <c r="H988" s="492"/>
      <c r="I988" s="492"/>
      <c r="J988" s="492"/>
      <c r="K988" s="492"/>
      <c r="L988" s="492"/>
      <c r="M988" s="492"/>
      <c r="N988" s="492"/>
      <c r="O988" s="492"/>
      <c r="P988" s="492"/>
      <c r="Q988" s="492"/>
      <c r="R988" s="221"/>
      <c r="S988" s="493">
        <f>L984/12</f>
        <v>2.5</v>
      </c>
      <c r="T988" s="493"/>
      <c r="U988" s="222"/>
      <c r="V988" s="492"/>
      <c r="W988" s="492"/>
      <c r="X988" s="492"/>
      <c r="Y988" s="492"/>
      <c r="Z988" s="492"/>
      <c r="AA988" s="492"/>
      <c r="AB988" s="492"/>
      <c r="AC988" s="492"/>
      <c r="AD988" s="492"/>
      <c r="AE988" s="492"/>
      <c r="AF988" s="492"/>
      <c r="AG988" s="492"/>
      <c r="AH988" s="193"/>
    </row>
    <row r="989" spans="1:34" x14ac:dyDescent="0.25">
      <c r="A989" s="193"/>
      <c r="B989" s="490"/>
      <c r="C989" s="490" t="s">
        <v>277</v>
      </c>
      <c r="D989" s="490">
        <v>5</v>
      </c>
      <c r="E989" s="490">
        <v>0.625</v>
      </c>
      <c r="F989" s="494">
        <v>16</v>
      </c>
      <c r="G989" s="229"/>
      <c r="H989" s="490"/>
      <c r="I989" s="490">
        <f>ROUNDUP(G979/F989,0)</f>
        <v>6</v>
      </c>
      <c r="J989" s="490">
        <v>1</v>
      </c>
      <c r="K989" s="490">
        <v>6</v>
      </c>
      <c r="L989" s="490">
        <f>4*12-2</f>
        <v>46</v>
      </c>
      <c r="M989" s="490">
        <f>11*12</f>
        <v>132</v>
      </c>
      <c r="N989" s="490"/>
      <c r="O989" s="490"/>
      <c r="P989" s="490"/>
      <c r="Q989" s="490"/>
      <c r="R989" s="213"/>
      <c r="S989" s="498"/>
      <c r="T989" s="498"/>
      <c r="U989" s="214"/>
      <c r="V989" s="490">
        <f>SUM(R989:U993)</f>
        <v>15.333333333333334</v>
      </c>
      <c r="W989" s="490">
        <f>+SUM(K989:Q993)</f>
        <v>184</v>
      </c>
      <c r="X989" s="490">
        <f>(+I989*J989*W989)/12</f>
        <v>92</v>
      </c>
      <c r="Y989" s="490">
        <f t="shared" ref="Y989:AF989" si="178">IF(Y$4=$D989,$X989*Y$5,0)</f>
        <v>0</v>
      </c>
      <c r="Z989" s="490">
        <f t="shared" si="178"/>
        <v>0</v>
      </c>
      <c r="AA989" s="490">
        <f t="shared" si="178"/>
        <v>95.955999999999989</v>
      </c>
      <c r="AB989" s="490">
        <f t="shared" si="178"/>
        <v>0</v>
      </c>
      <c r="AC989" s="490">
        <f t="shared" si="178"/>
        <v>0</v>
      </c>
      <c r="AD989" s="490">
        <f t="shared" si="178"/>
        <v>0</v>
      </c>
      <c r="AE989" s="490">
        <f t="shared" si="178"/>
        <v>0</v>
      </c>
      <c r="AF989" s="490">
        <f t="shared" si="178"/>
        <v>0</v>
      </c>
      <c r="AG989" s="490"/>
      <c r="AH989" s="193"/>
    </row>
    <row r="990" spans="1:34" x14ac:dyDescent="0.25">
      <c r="A990" s="193"/>
      <c r="B990" s="491"/>
      <c r="C990" s="491"/>
      <c r="D990" s="491"/>
      <c r="E990" s="491"/>
      <c r="F990" s="495"/>
      <c r="G990" s="230"/>
      <c r="H990" s="491"/>
      <c r="I990" s="491"/>
      <c r="J990" s="491"/>
      <c r="K990" s="491"/>
      <c r="L990" s="491"/>
      <c r="M990" s="491"/>
      <c r="N990" s="491"/>
      <c r="O990" s="491"/>
      <c r="P990" s="491"/>
      <c r="Q990" s="491"/>
      <c r="R990" s="213"/>
      <c r="S990" s="215"/>
      <c r="T990" s="216"/>
      <c r="U990" s="214"/>
      <c r="V990" s="491"/>
      <c r="W990" s="491"/>
      <c r="X990" s="491"/>
      <c r="Y990" s="491"/>
      <c r="Z990" s="491"/>
      <c r="AA990" s="491"/>
      <c r="AB990" s="491"/>
      <c r="AC990" s="491"/>
      <c r="AD990" s="491"/>
      <c r="AE990" s="491"/>
      <c r="AF990" s="491"/>
      <c r="AG990" s="491"/>
      <c r="AH990" s="193"/>
    </row>
    <row r="991" spans="1:34" x14ac:dyDescent="0.25">
      <c r="A991" s="193"/>
      <c r="B991" s="491"/>
      <c r="C991" s="491"/>
      <c r="D991" s="491"/>
      <c r="E991" s="491"/>
      <c r="F991" s="495"/>
      <c r="G991" s="230"/>
      <c r="H991" s="491"/>
      <c r="I991" s="491"/>
      <c r="J991" s="491"/>
      <c r="K991" s="491"/>
      <c r="L991" s="491"/>
      <c r="M991" s="491"/>
      <c r="N991" s="491"/>
      <c r="O991" s="491"/>
      <c r="P991" s="491"/>
      <c r="Q991" s="491"/>
      <c r="R991" s="225">
        <f>K989/12</f>
        <v>0.5</v>
      </c>
      <c r="S991" s="218"/>
      <c r="T991" s="218"/>
      <c r="U991" s="219"/>
      <c r="V991" s="491"/>
      <c r="W991" s="491"/>
      <c r="X991" s="491"/>
      <c r="Y991" s="491"/>
      <c r="Z991" s="491"/>
      <c r="AA991" s="491"/>
      <c r="AB991" s="491"/>
      <c r="AC991" s="491"/>
      <c r="AD991" s="491"/>
      <c r="AE991" s="491"/>
      <c r="AF991" s="491"/>
      <c r="AG991" s="491"/>
      <c r="AH991" s="193"/>
    </row>
    <row r="992" spans="1:34" ht="15.75" thickBot="1" x14ac:dyDescent="0.3">
      <c r="A992" s="193"/>
      <c r="B992" s="491"/>
      <c r="C992" s="491"/>
      <c r="D992" s="491"/>
      <c r="E992" s="491"/>
      <c r="F992" s="495"/>
      <c r="G992" s="230"/>
      <c r="H992" s="491"/>
      <c r="I992" s="491"/>
      <c r="J992" s="491"/>
      <c r="K992" s="491"/>
      <c r="L992" s="491"/>
      <c r="M992" s="491"/>
      <c r="N992" s="491"/>
      <c r="O992" s="491"/>
      <c r="P992" s="491"/>
      <c r="Q992" s="491"/>
      <c r="R992" s="226"/>
      <c r="S992" s="220"/>
      <c r="T992" s="220"/>
      <c r="U992" s="214"/>
      <c r="V992" s="491"/>
      <c r="W992" s="491"/>
      <c r="X992" s="491"/>
      <c r="Y992" s="491"/>
      <c r="Z992" s="491"/>
      <c r="AA992" s="491"/>
      <c r="AB992" s="491"/>
      <c r="AC992" s="491"/>
      <c r="AD992" s="491"/>
      <c r="AE992" s="491"/>
      <c r="AF992" s="491"/>
      <c r="AG992" s="491"/>
      <c r="AH992" s="193"/>
    </row>
    <row r="993" spans="1:34" x14ac:dyDescent="0.25">
      <c r="A993" s="193"/>
      <c r="B993" s="492"/>
      <c r="C993" s="492"/>
      <c r="D993" s="491"/>
      <c r="E993" s="491"/>
      <c r="F993" s="496"/>
      <c r="G993" s="231"/>
      <c r="H993" s="492"/>
      <c r="I993" s="492"/>
      <c r="J993" s="492"/>
      <c r="K993" s="492"/>
      <c r="L993" s="492"/>
      <c r="M993" s="492"/>
      <c r="N993" s="492"/>
      <c r="O993" s="492"/>
      <c r="P993" s="492"/>
      <c r="Q993" s="492"/>
      <c r="R993" s="221"/>
      <c r="S993" s="493">
        <f>+SUM(L989:M993)/12</f>
        <v>14.833333333333334</v>
      </c>
      <c r="T993" s="493"/>
      <c r="U993" s="222"/>
      <c r="V993" s="492"/>
      <c r="W993" s="492"/>
      <c r="X993" s="492"/>
      <c r="Y993" s="492"/>
      <c r="Z993" s="492"/>
      <c r="AA993" s="492"/>
      <c r="AB993" s="492"/>
      <c r="AC993" s="492"/>
      <c r="AD993" s="492"/>
      <c r="AE993" s="492"/>
      <c r="AF993" s="492"/>
      <c r="AG993" s="492"/>
      <c r="AH993" s="193"/>
    </row>
    <row r="994" spans="1:34" x14ac:dyDescent="0.25">
      <c r="A994" s="193"/>
      <c r="B994" s="490"/>
      <c r="C994" s="490" t="s">
        <v>286</v>
      </c>
      <c r="D994" s="490">
        <v>5</v>
      </c>
      <c r="E994" s="490">
        <v>0.625</v>
      </c>
      <c r="F994" s="494">
        <v>16</v>
      </c>
      <c r="G994" s="229"/>
      <c r="H994" s="490"/>
      <c r="I994" s="490">
        <f>ROUNDUP(M989/F994,0)</f>
        <v>9</v>
      </c>
      <c r="J994" s="490">
        <v>1</v>
      </c>
      <c r="K994" s="490"/>
      <c r="L994" s="490">
        <f>G977-2-2</f>
        <v>81</v>
      </c>
      <c r="M994" s="490"/>
      <c r="N994" s="490"/>
      <c r="O994" s="490"/>
      <c r="P994" s="490"/>
      <c r="Q994" s="490"/>
      <c r="R994" s="213"/>
      <c r="S994" s="498"/>
      <c r="T994" s="498"/>
      <c r="U994" s="214"/>
      <c r="V994" s="490">
        <f>SUM(R994:U998)</f>
        <v>6.75</v>
      </c>
      <c r="W994" s="490">
        <f>+SUM(K994:Q998)</f>
        <v>81</v>
      </c>
      <c r="X994" s="490">
        <f>(+I994*J994*W994)/12</f>
        <v>60.75</v>
      </c>
      <c r="Y994" s="490">
        <f t="shared" ref="Y994:AF994" si="179">IF(Y$4=$D994,$X994*Y$5,0)</f>
        <v>0</v>
      </c>
      <c r="Z994" s="490">
        <f t="shared" si="179"/>
        <v>0</v>
      </c>
      <c r="AA994" s="490">
        <f t="shared" si="179"/>
        <v>63.362249999999996</v>
      </c>
      <c r="AB994" s="490">
        <f t="shared" si="179"/>
        <v>0</v>
      </c>
      <c r="AC994" s="490">
        <f t="shared" si="179"/>
        <v>0</v>
      </c>
      <c r="AD994" s="490">
        <f t="shared" si="179"/>
        <v>0</v>
      </c>
      <c r="AE994" s="490">
        <f t="shared" si="179"/>
        <v>0</v>
      </c>
      <c r="AF994" s="490">
        <f t="shared" si="179"/>
        <v>0</v>
      </c>
      <c r="AG994" s="490"/>
      <c r="AH994" s="193"/>
    </row>
    <row r="995" spans="1:34" x14ac:dyDescent="0.25">
      <c r="A995" s="193"/>
      <c r="B995" s="491"/>
      <c r="C995" s="491"/>
      <c r="D995" s="491"/>
      <c r="E995" s="491"/>
      <c r="F995" s="495"/>
      <c r="G995" s="230"/>
      <c r="H995" s="491"/>
      <c r="I995" s="491"/>
      <c r="J995" s="491"/>
      <c r="K995" s="491"/>
      <c r="L995" s="491"/>
      <c r="M995" s="491"/>
      <c r="N995" s="491"/>
      <c r="O995" s="491"/>
      <c r="P995" s="491"/>
      <c r="Q995" s="491"/>
      <c r="R995" s="213"/>
      <c r="S995" s="215"/>
      <c r="T995" s="216"/>
      <c r="U995" s="214"/>
      <c r="V995" s="491"/>
      <c r="W995" s="491"/>
      <c r="X995" s="491"/>
      <c r="Y995" s="491"/>
      <c r="Z995" s="491"/>
      <c r="AA995" s="491"/>
      <c r="AB995" s="491"/>
      <c r="AC995" s="491"/>
      <c r="AD995" s="491"/>
      <c r="AE995" s="491"/>
      <c r="AF995" s="491"/>
      <c r="AG995" s="491"/>
      <c r="AH995" s="193"/>
    </row>
    <row r="996" spans="1:34" x14ac:dyDescent="0.25">
      <c r="A996" s="193"/>
      <c r="B996" s="491"/>
      <c r="C996" s="491"/>
      <c r="D996" s="491"/>
      <c r="E996" s="491"/>
      <c r="F996" s="495"/>
      <c r="G996" s="230"/>
      <c r="H996" s="491"/>
      <c r="I996" s="491"/>
      <c r="J996" s="491"/>
      <c r="K996" s="491"/>
      <c r="L996" s="491"/>
      <c r="M996" s="491"/>
      <c r="N996" s="491"/>
      <c r="O996" s="491"/>
      <c r="P996" s="491"/>
      <c r="Q996" s="497"/>
      <c r="R996" s="217"/>
      <c r="S996" s="218"/>
      <c r="T996" s="218"/>
      <c r="U996" s="219"/>
      <c r="V996" s="491"/>
      <c r="W996" s="491"/>
      <c r="X996" s="491"/>
      <c r="Y996" s="491"/>
      <c r="Z996" s="491"/>
      <c r="AA996" s="491"/>
      <c r="AB996" s="491"/>
      <c r="AC996" s="491"/>
      <c r="AD996" s="491"/>
      <c r="AE996" s="491"/>
      <c r="AF996" s="491"/>
      <c r="AG996" s="491"/>
      <c r="AH996" s="193"/>
    </row>
    <row r="997" spans="1:34" ht="15.75" thickBot="1" x14ac:dyDescent="0.3">
      <c r="A997" s="193"/>
      <c r="B997" s="491"/>
      <c r="C997" s="491"/>
      <c r="D997" s="491"/>
      <c r="E997" s="491"/>
      <c r="F997" s="495"/>
      <c r="G997" s="230"/>
      <c r="H997" s="491"/>
      <c r="I997" s="491"/>
      <c r="J997" s="491"/>
      <c r="K997" s="491"/>
      <c r="L997" s="491"/>
      <c r="M997" s="491"/>
      <c r="N997" s="491"/>
      <c r="O997" s="491"/>
      <c r="P997" s="491"/>
      <c r="Q997" s="497"/>
      <c r="R997" s="213"/>
      <c r="S997" s="220"/>
      <c r="T997" s="220"/>
      <c r="U997" s="214"/>
      <c r="V997" s="491"/>
      <c r="W997" s="491"/>
      <c r="X997" s="491"/>
      <c r="Y997" s="491"/>
      <c r="Z997" s="491"/>
      <c r="AA997" s="491"/>
      <c r="AB997" s="491"/>
      <c r="AC997" s="491"/>
      <c r="AD997" s="491"/>
      <c r="AE997" s="491"/>
      <c r="AF997" s="491"/>
      <c r="AG997" s="491"/>
      <c r="AH997" s="193"/>
    </row>
    <row r="998" spans="1:34" x14ac:dyDescent="0.25">
      <c r="A998" s="193"/>
      <c r="B998" s="492"/>
      <c r="C998" s="492"/>
      <c r="D998" s="492"/>
      <c r="E998" s="492"/>
      <c r="F998" s="496"/>
      <c r="G998" s="231"/>
      <c r="H998" s="492"/>
      <c r="I998" s="492"/>
      <c r="J998" s="492"/>
      <c r="K998" s="492"/>
      <c r="L998" s="492"/>
      <c r="M998" s="492"/>
      <c r="N998" s="492"/>
      <c r="O998" s="492"/>
      <c r="P998" s="492"/>
      <c r="Q998" s="492"/>
      <c r="R998" s="221"/>
      <c r="S998" s="493">
        <f>L994/12</f>
        <v>6.75</v>
      </c>
      <c r="T998" s="493"/>
      <c r="U998" s="222"/>
      <c r="V998" s="492"/>
      <c r="W998" s="492"/>
      <c r="X998" s="492"/>
      <c r="Y998" s="492"/>
      <c r="Z998" s="492"/>
      <c r="AA998" s="492"/>
      <c r="AB998" s="492"/>
      <c r="AC998" s="492"/>
      <c r="AD998" s="492"/>
      <c r="AE998" s="492"/>
      <c r="AF998" s="492"/>
      <c r="AG998" s="492"/>
      <c r="AH998" s="193"/>
    </row>
    <row r="999" spans="1:34" ht="21" x14ac:dyDescent="0.35">
      <c r="V999" s="523">
        <f>SUM(Y8:AG998)</f>
        <v>21718.722760000019</v>
      </c>
      <c r="W999" s="523"/>
      <c r="X999" s="523"/>
      <c r="Y999" s="523"/>
      <c r="Z999" s="523"/>
      <c r="AA999" s="523"/>
      <c r="AB999" s="523"/>
      <c r="AC999" s="523"/>
      <c r="AD999" s="523"/>
      <c r="AE999" s="523"/>
      <c r="AF999" s="523"/>
      <c r="AG999" s="523"/>
    </row>
  </sheetData>
  <mergeCells count="5340">
    <mergeCell ref="A1:B1"/>
    <mergeCell ref="N1:O1"/>
    <mergeCell ref="P1:Q1"/>
    <mergeCell ref="A2:B2"/>
    <mergeCell ref="N2:O2"/>
    <mergeCell ref="P2:Q2"/>
    <mergeCell ref="G3:G5"/>
    <mergeCell ref="G8:G12"/>
    <mergeCell ref="AD18:AD22"/>
    <mergeCell ref="V999:AG999"/>
    <mergeCell ref="N18:N22"/>
    <mergeCell ref="F8:F12"/>
    <mergeCell ref="H8:H12"/>
    <mergeCell ref="X3:X5"/>
    <mergeCell ref="Y3:AF3"/>
    <mergeCell ref="AG3:AG5"/>
    <mergeCell ref="K4:K5"/>
    <mergeCell ref="L4:L5"/>
    <mergeCell ref="M4:M5"/>
    <mergeCell ref="N4:N5"/>
    <mergeCell ref="O4:O5"/>
    <mergeCell ref="P4:P5"/>
    <mergeCell ref="Q4:Q5"/>
    <mergeCell ref="I3:I5"/>
    <mergeCell ref="J3:J5"/>
    <mergeCell ref="K3:Q3"/>
    <mergeCell ref="M8:M12"/>
    <mergeCell ref="N8:N12"/>
    <mergeCell ref="AF18:AF22"/>
    <mergeCell ref="AF8:AF12"/>
    <mergeCell ref="AG8:AG12"/>
    <mergeCell ref="AB8:AB12"/>
    <mergeCell ref="R3:U5"/>
    <mergeCell ref="V3:V5"/>
    <mergeCell ref="W3:W5"/>
    <mergeCell ref="AD8:AD12"/>
    <mergeCell ref="AE8:AE12"/>
    <mergeCell ref="S12:T12"/>
    <mergeCell ref="B13:B17"/>
    <mergeCell ref="C13:C17"/>
    <mergeCell ref="D13:D17"/>
    <mergeCell ref="E13:E17"/>
    <mergeCell ref="F13:F17"/>
    <mergeCell ref="X8:X12"/>
    <mergeCell ref="Y8:Y12"/>
    <mergeCell ref="Z8:Z12"/>
    <mergeCell ref="AA8:AA12"/>
    <mergeCell ref="L8:L12"/>
    <mergeCell ref="G13:G17"/>
    <mergeCell ref="K8:K12"/>
    <mergeCell ref="B8:B12"/>
    <mergeCell ref="B3:B5"/>
    <mergeCell ref="C3:C5"/>
    <mergeCell ref="D3:D5"/>
    <mergeCell ref="E3:E5"/>
    <mergeCell ref="F3:F5"/>
    <mergeCell ref="H3:H5"/>
    <mergeCell ref="AC8:AC12"/>
    <mergeCell ref="O8:O12"/>
    <mergeCell ref="P8:P12"/>
    <mergeCell ref="Q8:Q12"/>
    <mergeCell ref="S8:T8"/>
    <mergeCell ref="V8:V12"/>
    <mergeCell ref="W8:W12"/>
    <mergeCell ref="C8:C12"/>
    <mergeCell ref="D8:D12"/>
    <mergeCell ref="E8:E12"/>
    <mergeCell ref="F18:F22"/>
    <mergeCell ref="H18:H22"/>
    <mergeCell ref="AC13:AC17"/>
    <mergeCell ref="AD13:AD17"/>
    <mergeCell ref="AE13:AE17"/>
    <mergeCell ref="AF13:AF17"/>
    <mergeCell ref="AG13:AG17"/>
    <mergeCell ref="S17:T17"/>
    <mergeCell ref="W13:W17"/>
    <mergeCell ref="X13:X17"/>
    <mergeCell ref="Y13:Y17"/>
    <mergeCell ref="Z13:Z17"/>
    <mergeCell ref="AA13:AA17"/>
    <mergeCell ref="AB13:AB17"/>
    <mergeCell ref="N13:N17"/>
    <mergeCell ref="O13:O17"/>
    <mergeCell ref="P13:P17"/>
    <mergeCell ref="Q13:Q17"/>
    <mergeCell ref="S13:T13"/>
    <mergeCell ref="V13:V17"/>
    <mergeCell ref="H13:H17"/>
    <mergeCell ref="I13:I17"/>
    <mergeCell ref="J13:J17"/>
    <mergeCell ref="K13:K17"/>
    <mergeCell ref="L13:L17"/>
    <mergeCell ref="M13:M17"/>
    <mergeCell ref="AE18:AE22"/>
    <mergeCell ref="I8:I12"/>
    <mergeCell ref="J8:J12"/>
    <mergeCell ref="AG18:AG22"/>
    <mergeCell ref="S22:T22"/>
    <mergeCell ref="B31:B35"/>
    <mergeCell ref="C31:C35"/>
    <mergeCell ref="D31:D35"/>
    <mergeCell ref="E31:E35"/>
    <mergeCell ref="F31:F35"/>
    <mergeCell ref="X18:X22"/>
    <mergeCell ref="Y18:Y22"/>
    <mergeCell ref="Z18:Z22"/>
    <mergeCell ref="AA18:AA22"/>
    <mergeCell ref="AB18:AB22"/>
    <mergeCell ref="AC18:AC22"/>
    <mergeCell ref="O18:O22"/>
    <mergeCell ref="P18:P22"/>
    <mergeCell ref="Q18:Q22"/>
    <mergeCell ref="S18:T18"/>
    <mergeCell ref="V18:V22"/>
    <mergeCell ref="W18:W22"/>
    <mergeCell ref="I18:I22"/>
    <mergeCell ref="J18:J22"/>
    <mergeCell ref="K18:K22"/>
    <mergeCell ref="L18:L22"/>
    <mergeCell ref="M18:M22"/>
    <mergeCell ref="B18:B22"/>
    <mergeCell ref="C18:C22"/>
    <mergeCell ref="D18:D22"/>
    <mergeCell ref="E18:E22"/>
    <mergeCell ref="AF31:AF35"/>
    <mergeCell ref="C23:C27"/>
    <mergeCell ref="D23:D27"/>
    <mergeCell ref="E23:E27"/>
    <mergeCell ref="W31:W35"/>
    <mergeCell ref="X31:X35"/>
    <mergeCell ref="Y31:Y35"/>
    <mergeCell ref="Z31:Z35"/>
    <mergeCell ref="AA31:AA35"/>
    <mergeCell ref="AB31:AB35"/>
    <mergeCell ref="N31:N35"/>
    <mergeCell ref="O31:O35"/>
    <mergeCell ref="P31:P35"/>
    <mergeCell ref="Q31:Q35"/>
    <mergeCell ref="S31:T31"/>
    <mergeCell ref="V31:V35"/>
    <mergeCell ref="H31:H35"/>
    <mergeCell ref="I31:I35"/>
    <mergeCell ref="S36:T36"/>
    <mergeCell ref="V36:V40"/>
    <mergeCell ref="W36:W40"/>
    <mergeCell ref="K31:K35"/>
    <mergeCell ref="L31:L35"/>
    <mergeCell ref="M31:M35"/>
    <mergeCell ref="X46:X50"/>
    <mergeCell ref="Y46:Y50"/>
    <mergeCell ref="Z46:Z50"/>
    <mergeCell ref="AA46:AA50"/>
    <mergeCell ref="AB46:AB50"/>
    <mergeCell ref="AC46:AC50"/>
    <mergeCell ref="AD46:AD50"/>
    <mergeCell ref="AE46:AE50"/>
    <mergeCell ref="B23:B27"/>
    <mergeCell ref="J36:J40"/>
    <mergeCell ref="K36:K40"/>
    <mergeCell ref="L36:L40"/>
    <mergeCell ref="M36:M40"/>
    <mergeCell ref="N36:N40"/>
    <mergeCell ref="B36:B40"/>
    <mergeCell ref="C36:C40"/>
    <mergeCell ref="D36:D40"/>
    <mergeCell ref="E36:E40"/>
    <mergeCell ref="F36:F40"/>
    <mergeCell ref="H36:H40"/>
    <mergeCell ref="AC31:AC35"/>
    <mergeCell ref="AD31:AD35"/>
    <mergeCell ref="AE31:AE35"/>
    <mergeCell ref="S23:T23"/>
    <mergeCell ref="V23:V27"/>
    <mergeCell ref="W23:W27"/>
    <mergeCell ref="X23:X27"/>
    <mergeCell ref="Y23:Y27"/>
    <mergeCell ref="Z23:Z27"/>
    <mergeCell ref="AA23:AA27"/>
    <mergeCell ref="AB23:AB27"/>
    <mergeCell ref="AC23:AC27"/>
    <mergeCell ref="J80:J84"/>
    <mergeCell ref="K80:K84"/>
    <mergeCell ref="L80:L84"/>
    <mergeCell ref="M80:M84"/>
    <mergeCell ref="X75:X79"/>
    <mergeCell ref="Y75:Y79"/>
    <mergeCell ref="Z75:Z79"/>
    <mergeCell ref="AA75:AA79"/>
    <mergeCell ref="AB75:AB79"/>
    <mergeCell ref="AA80:AA84"/>
    <mergeCell ref="AB80:AB84"/>
    <mergeCell ref="J31:J35"/>
    <mergeCell ref="AC41:AC45"/>
    <mergeCell ref="AD41:AD45"/>
    <mergeCell ref="AE41:AE45"/>
    <mergeCell ref="AF41:AF45"/>
    <mergeCell ref="AG41:AG45"/>
    <mergeCell ref="S45:T45"/>
    <mergeCell ref="S46:T46"/>
    <mergeCell ref="V46:V50"/>
    <mergeCell ref="W46:W50"/>
    <mergeCell ref="AD36:AD40"/>
    <mergeCell ref="AE36:AE40"/>
    <mergeCell ref="AF36:AF40"/>
    <mergeCell ref="AG36:AG40"/>
    <mergeCell ref="S40:T40"/>
    <mergeCell ref="X36:X40"/>
    <mergeCell ref="Y36:Y40"/>
    <mergeCell ref="Z36:Z40"/>
    <mergeCell ref="AA36:AA40"/>
    <mergeCell ref="AB36:AB40"/>
    <mergeCell ref="AC36:AC40"/>
    <mergeCell ref="K119:K123"/>
    <mergeCell ref="W85:W89"/>
    <mergeCell ref="X85:X89"/>
    <mergeCell ref="Y85:Y89"/>
    <mergeCell ref="Z85:Z89"/>
    <mergeCell ref="AA85:AA89"/>
    <mergeCell ref="AB85:AB89"/>
    <mergeCell ref="AC85:AC89"/>
    <mergeCell ref="AD85:AD89"/>
    <mergeCell ref="AE85:AE89"/>
    <mergeCell ref="AF85:AF89"/>
    <mergeCell ref="AG85:AG89"/>
    <mergeCell ref="W90:W94"/>
    <mergeCell ref="X90:X94"/>
    <mergeCell ref="S79:T79"/>
    <mergeCell ref="V75:V79"/>
    <mergeCell ref="W75:W79"/>
    <mergeCell ref="AC75:AC79"/>
    <mergeCell ref="AD75:AD79"/>
    <mergeCell ref="AE75:AE79"/>
    <mergeCell ref="AF75:AF79"/>
    <mergeCell ref="AG75:AG79"/>
    <mergeCell ref="N80:N84"/>
    <mergeCell ref="O80:O84"/>
    <mergeCell ref="P80:P84"/>
    <mergeCell ref="Q80:Q84"/>
    <mergeCell ref="S80:T80"/>
    <mergeCell ref="V80:V84"/>
    <mergeCell ref="W80:W84"/>
    <mergeCell ref="X80:X84"/>
    <mergeCell ref="Y80:Y84"/>
    <mergeCell ref="Z80:Z84"/>
    <mergeCell ref="S124:T124"/>
    <mergeCell ref="V124:V128"/>
    <mergeCell ref="W124:W128"/>
    <mergeCell ref="S128:T128"/>
    <mergeCell ref="I124:I128"/>
    <mergeCell ref="J124:J128"/>
    <mergeCell ref="K124:K128"/>
    <mergeCell ref="L124:L128"/>
    <mergeCell ref="M124:M128"/>
    <mergeCell ref="N124:N128"/>
    <mergeCell ref="B124:B128"/>
    <mergeCell ref="C124:C128"/>
    <mergeCell ref="D124:D128"/>
    <mergeCell ref="E124:E128"/>
    <mergeCell ref="F124:F128"/>
    <mergeCell ref="H124:H128"/>
    <mergeCell ref="AG119:AG123"/>
    <mergeCell ref="S123:T123"/>
    <mergeCell ref="AA119:AA123"/>
    <mergeCell ref="AB119:AB123"/>
    <mergeCell ref="AC119:AC123"/>
    <mergeCell ref="AD119:AD123"/>
    <mergeCell ref="AE119:AE123"/>
    <mergeCell ref="AF119:AF123"/>
    <mergeCell ref="S119:T119"/>
    <mergeCell ref="V119:V123"/>
    <mergeCell ref="W119:W123"/>
    <mergeCell ref="X119:X123"/>
    <mergeCell ref="Y119:Y123"/>
    <mergeCell ref="Z119:Z123"/>
    <mergeCell ref="L119:L123"/>
    <mergeCell ref="M119:M123"/>
    <mergeCell ref="AE141:AE145"/>
    <mergeCell ref="AF141:AF145"/>
    <mergeCell ref="AG141:AG145"/>
    <mergeCell ref="AD124:AD128"/>
    <mergeCell ref="AE124:AE128"/>
    <mergeCell ref="AF124:AF128"/>
    <mergeCell ref="AG124:AG128"/>
    <mergeCell ref="X124:X128"/>
    <mergeCell ref="Y124:Y128"/>
    <mergeCell ref="Z124:Z128"/>
    <mergeCell ref="AA124:AA128"/>
    <mergeCell ref="AB124:AB128"/>
    <mergeCell ref="AC124:AC128"/>
    <mergeCell ref="AC134:AC138"/>
    <mergeCell ref="AD134:AD138"/>
    <mergeCell ref="AE134:AE138"/>
    <mergeCell ref="AF134:AF138"/>
    <mergeCell ref="AG134:AG138"/>
    <mergeCell ref="X134:X138"/>
    <mergeCell ref="Y134:Y138"/>
    <mergeCell ref="Z134:Z138"/>
    <mergeCell ref="AA134:AA138"/>
    <mergeCell ref="AB134:AB138"/>
    <mergeCell ref="G146:G150"/>
    <mergeCell ref="H146:H150"/>
    <mergeCell ref="I146:I150"/>
    <mergeCell ref="J146:J150"/>
    <mergeCell ref="K146:K150"/>
    <mergeCell ref="L146:L150"/>
    <mergeCell ref="M146:M150"/>
    <mergeCell ref="N146:N150"/>
    <mergeCell ref="O146:O150"/>
    <mergeCell ref="W146:W150"/>
    <mergeCell ref="X146:X150"/>
    <mergeCell ref="Y146:Y150"/>
    <mergeCell ref="Z146:Z150"/>
    <mergeCell ref="AA146:AA150"/>
    <mergeCell ref="V141:V145"/>
    <mergeCell ref="W141:W145"/>
    <mergeCell ref="X141:X145"/>
    <mergeCell ref="Y141:Y145"/>
    <mergeCell ref="Z141:Z145"/>
    <mergeCell ref="AA141:AA145"/>
    <mergeCell ref="L141:L145"/>
    <mergeCell ref="M141:M145"/>
    <mergeCell ref="N141:N145"/>
    <mergeCell ref="O141:O145"/>
    <mergeCell ref="P141:P145"/>
    <mergeCell ref="Q141:Q145"/>
    <mergeCell ref="S141:T141"/>
    <mergeCell ref="S145:T145"/>
    <mergeCell ref="P146:P150"/>
    <mergeCell ref="Q146:Q150"/>
    <mergeCell ref="H156:H160"/>
    <mergeCell ref="I156:I160"/>
    <mergeCell ref="J156:J160"/>
    <mergeCell ref="K156:K160"/>
    <mergeCell ref="L156:L160"/>
    <mergeCell ref="M156:M160"/>
    <mergeCell ref="N156:N160"/>
    <mergeCell ref="O156:O160"/>
    <mergeCell ref="P156:P160"/>
    <mergeCell ref="Q156:Q160"/>
    <mergeCell ref="S156:T156"/>
    <mergeCell ref="V156:V160"/>
    <mergeCell ref="W156:W160"/>
    <mergeCell ref="X156:X160"/>
    <mergeCell ref="S155:T155"/>
    <mergeCell ref="V151:V155"/>
    <mergeCell ref="W151:W155"/>
    <mergeCell ref="X151:X155"/>
    <mergeCell ref="X168:X172"/>
    <mergeCell ref="Y168:Y172"/>
    <mergeCell ref="Z168:Z172"/>
    <mergeCell ref="S167:T167"/>
    <mergeCell ref="W163:W167"/>
    <mergeCell ref="X163:X167"/>
    <mergeCell ref="Y163:Y167"/>
    <mergeCell ref="Z163:Z167"/>
    <mergeCell ref="AA163:AA167"/>
    <mergeCell ref="AB163:AB167"/>
    <mergeCell ref="AC163:AC167"/>
    <mergeCell ref="AD163:AD167"/>
    <mergeCell ref="AE163:AE167"/>
    <mergeCell ref="AF163:AF167"/>
    <mergeCell ref="AG163:AG167"/>
    <mergeCell ref="S160:T160"/>
    <mergeCell ref="Y156:Y160"/>
    <mergeCell ref="Z156:Z160"/>
    <mergeCell ref="AA156:AA160"/>
    <mergeCell ref="AB156:AB160"/>
    <mergeCell ref="AC156:AC160"/>
    <mergeCell ref="AD156:AD160"/>
    <mergeCell ref="AE156:AE160"/>
    <mergeCell ref="AF156:AF160"/>
    <mergeCell ref="AG156:AG160"/>
    <mergeCell ref="V163:V167"/>
    <mergeCell ref="AA168:AA172"/>
    <mergeCell ref="AB168:AB172"/>
    <mergeCell ref="AC168:AC172"/>
    <mergeCell ref="AD168:AD172"/>
    <mergeCell ref="AE168:AE172"/>
    <mergeCell ref="W185:W189"/>
    <mergeCell ref="X185:X189"/>
    <mergeCell ref="Y185:Y189"/>
    <mergeCell ref="Z185:Z189"/>
    <mergeCell ref="Z178:Z182"/>
    <mergeCell ref="AA178:AA182"/>
    <mergeCell ref="AB178:AB182"/>
    <mergeCell ref="AC178:AC182"/>
    <mergeCell ref="AD178:AD182"/>
    <mergeCell ref="AE178:AE182"/>
    <mergeCell ref="AF178:AF182"/>
    <mergeCell ref="AG178:AG182"/>
    <mergeCell ref="S182:T182"/>
    <mergeCell ref="S172:T172"/>
    <mergeCell ref="B168:B172"/>
    <mergeCell ref="C168:C172"/>
    <mergeCell ref="D168:D172"/>
    <mergeCell ref="E168:E172"/>
    <mergeCell ref="F168:F172"/>
    <mergeCell ref="G168:G172"/>
    <mergeCell ref="H168:H172"/>
    <mergeCell ref="I168:I172"/>
    <mergeCell ref="J168:J172"/>
    <mergeCell ref="K168:K172"/>
    <mergeCell ref="L168:L172"/>
    <mergeCell ref="M168:M172"/>
    <mergeCell ref="N168:N172"/>
    <mergeCell ref="O168:O172"/>
    <mergeCell ref="P168:P172"/>
    <mergeCell ref="Q168:Q172"/>
    <mergeCell ref="S168:T168"/>
    <mergeCell ref="V168:V172"/>
    <mergeCell ref="Z200:Z204"/>
    <mergeCell ref="AA200:AA204"/>
    <mergeCell ref="AB200:AB204"/>
    <mergeCell ref="AC200:AC204"/>
    <mergeCell ref="S195:T195"/>
    <mergeCell ref="Y195:Y199"/>
    <mergeCell ref="Z195:Z199"/>
    <mergeCell ref="AA195:AA199"/>
    <mergeCell ref="AB195:AB199"/>
    <mergeCell ref="AC195:AC199"/>
    <mergeCell ref="AD195:AD199"/>
    <mergeCell ref="AE195:AE199"/>
    <mergeCell ref="AF195:AF199"/>
    <mergeCell ref="AG195:AG199"/>
    <mergeCell ref="B185:B189"/>
    <mergeCell ref="C185:C189"/>
    <mergeCell ref="D185:D189"/>
    <mergeCell ref="E185:E189"/>
    <mergeCell ref="F185:F189"/>
    <mergeCell ref="G185:G189"/>
    <mergeCell ref="H185:H189"/>
    <mergeCell ref="I185:I189"/>
    <mergeCell ref="J185:J189"/>
    <mergeCell ref="K185:K189"/>
    <mergeCell ref="L185:L189"/>
    <mergeCell ref="M185:M189"/>
    <mergeCell ref="N185:N189"/>
    <mergeCell ref="O185:O189"/>
    <mergeCell ref="P185:P189"/>
    <mergeCell ref="Q185:Q189"/>
    <mergeCell ref="S185:T185"/>
    <mergeCell ref="V185:V189"/>
    <mergeCell ref="D200:D204"/>
    <mergeCell ref="E200:E204"/>
    <mergeCell ref="F200:F204"/>
    <mergeCell ref="H200:H204"/>
    <mergeCell ref="I200:I204"/>
    <mergeCell ref="J200:J204"/>
    <mergeCell ref="K200:K204"/>
    <mergeCell ref="L200:L204"/>
    <mergeCell ref="M200:M204"/>
    <mergeCell ref="N200:N204"/>
    <mergeCell ref="O200:O204"/>
    <mergeCell ref="P200:P204"/>
    <mergeCell ref="Q200:Q204"/>
    <mergeCell ref="V200:V204"/>
    <mergeCell ref="W200:W204"/>
    <mergeCell ref="X200:X204"/>
    <mergeCell ref="Y200:Y204"/>
    <mergeCell ref="S217:T217"/>
    <mergeCell ref="V217:V221"/>
    <mergeCell ref="W217:W221"/>
    <mergeCell ref="X217:X221"/>
    <mergeCell ref="Y217:Y221"/>
    <mergeCell ref="Z217:Z221"/>
    <mergeCell ref="AA217:AA221"/>
    <mergeCell ref="AB217:AB221"/>
    <mergeCell ref="AC217:AC221"/>
    <mergeCell ref="AD217:AD221"/>
    <mergeCell ref="AE217:AE221"/>
    <mergeCell ref="AF217:AF221"/>
    <mergeCell ref="AG217:AG221"/>
    <mergeCell ref="S212:T212"/>
    <mergeCell ref="W207:W211"/>
    <mergeCell ref="S211:T211"/>
    <mergeCell ref="B212:B216"/>
    <mergeCell ref="C212:C216"/>
    <mergeCell ref="D212:D216"/>
    <mergeCell ref="E212:E216"/>
    <mergeCell ref="F212:F216"/>
    <mergeCell ref="G212:G216"/>
    <mergeCell ref="H212:H216"/>
    <mergeCell ref="I212:I216"/>
    <mergeCell ref="J212:J216"/>
    <mergeCell ref="K212:K216"/>
    <mergeCell ref="L212:L216"/>
    <mergeCell ref="M212:M216"/>
    <mergeCell ref="S207:T207"/>
    <mergeCell ref="X207:X211"/>
    <mergeCell ref="Y207:Y211"/>
    <mergeCell ref="Z207:Z211"/>
    <mergeCell ref="P251:P255"/>
    <mergeCell ref="S248:T248"/>
    <mergeCell ref="AE244:AE248"/>
    <mergeCell ref="AF244:AF248"/>
    <mergeCell ref="AG244:AG248"/>
    <mergeCell ref="Q251:Q255"/>
    <mergeCell ref="S251:T251"/>
    <mergeCell ref="V251:V255"/>
    <mergeCell ref="W251:W255"/>
    <mergeCell ref="X251:X255"/>
    <mergeCell ref="Y251:Y255"/>
    <mergeCell ref="Z251:Z255"/>
    <mergeCell ref="S243:T243"/>
    <mergeCell ref="V234:V238"/>
    <mergeCell ref="W234:W238"/>
    <mergeCell ref="X229:X233"/>
    <mergeCell ref="Y229:Y233"/>
    <mergeCell ref="Z229:Z233"/>
    <mergeCell ref="AA229:AA233"/>
    <mergeCell ref="AB229:AB233"/>
    <mergeCell ref="AC229:AC233"/>
    <mergeCell ref="AD229:AD233"/>
    <mergeCell ref="AE229:AE233"/>
    <mergeCell ref="AF229:AF233"/>
    <mergeCell ref="AG229:AG233"/>
    <mergeCell ref="S233:T233"/>
    <mergeCell ref="X234:X238"/>
    <mergeCell ref="Y234:Y238"/>
    <mergeCell ref="Z234:Z238"/>
    <mergeCell ref="AA234:AA238"/>
    <mergeCell ref="AB234:AB238"/>
    <mergeCell ref="AC234:AC238"/>
    <mergeCell ref="I261:I265"/>
    <mergeCell ref="J261:J265"/>
    <mergeCell ref="K261:K265"/>
    <mergeCell ref="B251:B255"/>
    <mergeCell ref="C251:C255"/>
    <mergeCell ref="D251:D255"/>
    <mergeCell ref="E251:E255"/>
    <mergeCell ref="F251:F255"/>
    <mergeCell ref="G251:G255"/>
    <mergeCell ref="H251:H255"/>
    <mergeCell ref="I251:I255"/>
    <mergeCell ref="J251:J255"/>
    <mergeCell ref="K251:K255"/>
    <mergeCell ref="L251:L255"/>
    <mergeCell ref="M251:M255"/>
    <mergeCell ref="N251:N255"/>
    <mergeCell ref="O251:O255"/>
    <mergeCell ref="B266:B270"/>
    <mergeCell ref="C266:C270"/>
    <mergeCell ref="D266:D270"/>
    <mergeCell ref="E266:E270"/>
    <mergeCell ref="F266:F270"/>
    <mergeCell ref="H266:H270"/>
    <mergeCell ref="AG261:AG265"/>
    <mergeCell ref="S265:T265"/>
    <mergeCell ref="AA261:AA265"/>
    <mergeCell ref="AB261:AB265"/>
    <mergeCell ref="AC261:AC265"/>
    <mergeCell ref="AD261:AD265"/>
    <mergeCell ref="AE261:AE265"/>
    <mergeCell ref="AF261:AF265"/>
    <mergeCell ref="S261:T261"/>
    <mergeCell ref="V261:V265"/>
    <mergeCell ref="W261:W265"/>
    <mergeCell ref="X261:X265"/>
    <mergeCell ref="Y261:Y265"/>
    <mergeCell ref="Z261:Z265"/>
    <mergeCell ref="L261:L265"/>
    <mergeCell ref="M261:M265"/>
    <mergeCell ref="N261:N265"/>
    <mergeCell ref="O261:O265"/>
    <mergeCell ref="P261:P265"/>
    <mergeCell ref="Q261:Q265"/>
    <mergeCell ref="B261:B265"/>
    <mergeCell ref="C261:C265"/>
    <mergeCell ref="D261:D265"/>
    <mergeCell ref="E261:E265"/>
    <mergeCell ref="F261:F265"/>
    <mergeCell ref="H261:H265"/>
    <mergeCell ref="B278:B282"/>
    <mergeCell ref="C278:C282"/>
    <mergeCell ref="D278:D282"/>
    <mergeCell ref="E278:E282"/>
    <mergeCell ref="F278:F282"/>
    <mergeCell ref="H278:H282"/>
    <mergeCell ref="I278:I282"/>
    <mergeCell ref="J278:J282"/>
    <mergeCell ref="K278:K282"/>
    <mergeCell ref="AD266:AD270"/>
    <mergeCell ref="AE266:AE270"/>
    <mergeCell ref="AF266:AF270"/>
    <mergeCell ref="AG266:AG270"/>
    <mergeCell ref="X266:X270"/>
    <mergeCell ref="Y266:Y270"/>
    <mergeCell ref="Z266:Z270"/>
    <mergeCell ref="AA266:AA270"/>
    <mergeCell ref="AB266:AB270"/>
    <mergeCell ref="AC266:AC270"/>
    <mergeCell ref="O266:O270"/>
    <mergeCell ref="P266:P270"/>
    <mergeCell ref="Q266:Q270"/>
    <mergeCell ref="S266:T266"/>
    <mergeCell ref="V266:V270"/>
    <mergeCell ref="W266:W270"/>
    <mergeCell ref="S270:T270"/>
    <mergeCell ref="I266:I270"/>
    <mergeCell ref="J266:J270"/>
    <mergeCell ref="K266:K270"/>
    <mergeCell ref="L266:L270"/>
    <mergeCell ref="M266:M270"/>
    <mergeCell ref="N266:N270"/>
    <mergeCell ref="I283:I287"/>
    <mergeCell ref="J283:J287"/>
    <mergeCell ref="K283:K287"/>
    <mergeCell ref="L283:L287"/>
    <mergeCell ref="M283:M287"/>
    <mergeCell ref="N283:N287"/>
    <mergeCell ref="B283:B287"/>
    <mergeCell ref="C283:C287"/>
    <mergeCell ref="D283:D287"/>
    <mergeCell ref="E283:E287"/>
    <mergeCell ref="F283:F287"/>
    <mergeCell ref="H283:H287"/>
    <mergeCell ref="AG278:AG282"/>
    <mergeCell ref="S282:T282"/>
    <mergeCell ref="AA278:AA282"/>
    <mergeCell ref="AB278:AB282"/>
    <mergeCell ref="AC278:AC282"/>
    <mergeCell ref="AD278:AD282"/>
    <mergeCell ref="AE278:AE282"/>
    <mergeCell ref="AF278:AF282"/>
    <mergeCell ref="S278:T278"/>
    <mergeCell ref="V278:V282"/>
    <mergeCell ref="W278:W282"/>
    <mergeCell ref="X278:X282"/>
    <mergeCell ref="Y278:Y282"/>
    <mergeCell ref="Z278:Z282"/>
    <mergeCell ref="L278:L282"/>
    <mergeCell ref="M278:M282"/>
    <mergeCell ref="N278:N282"/>
    <mergeCell ref="O278:O282"/>
    <mergeCell ref="P278:P282"/>
    <mergeCell ref="Q278:Q282"/>
    <mergeCell ref="AD283:AD287"/>
    <mergeCell ref="AE283:AE287"/>
    <mergeCell ref="AF283:AF287"/>
    <mergeCell ref="AG283:AG287"/>
    <mergeCell ref="X283:X287"/>
    <mergeCell ref="Y283:Y287"/>
    <mergeCell ref="Z283:Z287"/>
    <mergeCell ref="AA283:AA287"/>
    <mergeCell ref="AB283:AB287"/>
    <mergeCell ref="AC283:AC287"/>
    <mergeCell ref="O283:O287"/>
    <mergeCell ref="P283:P287"/>
    <mergeCell ref="Q283:Q287"/>
    <mergeCell ref="S283:T283"/>
    <mergeCell ref="V283:V287"/>
    <mergeCell ref="W283:W287"/>
    <mergeCell ref="S287:T287"/>
    <mergeCell ref="AF295:AF299"/>
    <mergeCell ref="AG295:AG299"/>
    <mergeCell ref="X295:X299"/>
    <mergeCell ref="Y295:Y299"/>
    <mergeCell ref="Z295:Z299"/>
    <mergeCell ref="AA295:AA299"/>
    <mergeCell ref="AB295:AB299"/>
    <mergeCell ref="AC295:AC299"/>
    <mergeCell ref="O295:O299"/>
    <mergeCell ref="P295:P299"/>
    <mergeCell ref="Q295:Q299"/>
    <mergeCell ref="S295:T295"/>
    <mergeCell ref="V295:V299"/>
    <mergeCell ref="W295:W299"/>
    <mergeCell ref="S299:T299"/>
    <mergeCell ref="I295:I299"/>
    <mergeCell ref="J295:J299"/>
    <mergeCell ref="K295:K299"/>
    <mergeCell ref="L295:L299"/>
    <mergeCell ref="M295:M299"/>
    <mergeCell ref="N295:N299"/>
    <mergeCell ref="S304:T304"/>
    <mergeCell ref="B305:B309"/>
    <mergeCell ref="C305:C309"/>
    <mergeCell ref="D305:D309"/>
    <mergeCell ref="E305:E309"/>
    <mergeCell ref="F305:F309"/>
    <mergeCell ref="H305:H309"/>
    <mergeCell ref="I305:I309"/>
    <mergeCell ref="J305:J309"/>
    <mergeCell ref="K305:K309"/>
    <mergeCell ref="L305:L309"/>
    <mergeCell ref="M305:M309"/>
    <mergeCell ref="N305:N309"/>
    <mergeCell ref="O305:O309"/>
    <mergeCell ref="P305:P309"/>
    <mergeCell ref="AD295:AD299"/>
    <mergeCell ref="AE295:AE299"/>
    <mergeCell ref="B295:B299"/>
    <mergeCell ref="C295:C299"/>
    <mergeCell ref="D295:D299"/>
    <mergeCell ref="E295:E299"/>
    <mergeCell ref="F295:F299"/>
    <mergeCell ref="H295:H299"/>
    <mergeCell ref="Q305:Q309"/>
    <mergeCell ref="S305:T305"/>
    <mergeCell ref="V305:V309"/>
    <mergeCell ref="W305:W309"/>
    <mergeCell ref="X305:X309"/>
    <mergeCell ref="Y305:Y309"/>
    <mergeCell ref="Z305:Z309"/>
    <mergeCell ref="AA305:AA309"/>
    <mergeCell ref="AB305:AB309"/>
    <mergeCell ref="AG317:AG321"/>
    <mergeCell ref="X317:X321"/>
    <mergeCell ref="Y317:Y321"/>
    <mergeCell ref="Z317:Z321"/>
    <mergeCell ref="AA317:AA321"/>
    <mergeCell ref="AB317:AB321"/>
    <mergeCell ref="AC317:AC321"/>
    <mergeCell ref="O317:O321"/>
    <mergeCell ref="P317:P321"/>
    <mergeCell ref="Q317:Q321"/>
    <mergeCell ref="S317:T317"/>
    <mergeCell ref="V317:V321"/>
    <mergeCell ref="W317:W321"/>
    <mergeCell ref="S321:T321"/>
    <mergeCell ref="W310:W314"/>
    <mergeCell ref="X310:X314"/>
    <mergeCell ref="Y310:Y314"/>
    <mergeCell ref="Z310:Z314"/>
    <mergeCell ref="AA310:AA314"/>
    <mergeCell ref="AB310:AB314"/>
    <mergeCell ref="AC310:AC314"/>
    <mergeCell ref="AD310:AD314"/>
    <mergeCell ref="AE310:AE314"/>
    <mergeCell ref="AF310:AF314"/>
    <mergeCell ref="B322:B326"/>
    <mergeCell ref="C322:C326"/>
    <mergeCell ref="D322:D326"/>
    <mergeCell ref="E322:E326"/>
    <mergeCell ref="F322:F326"/>
    <mergeCell ref="H322:H326"/>
    <mergeCell ref="AD317:AD321"/>
    <mergeCell ref="AE317:AE321"/>
    <mergeCell ref="AF317:AF321"/>
    <mergeCell ref="I317:I321"/>
    <mergeCell ref="J317:J321"/>
    <mergeCell ref="K317:K321"/>
    <mergeCell ref="L317:L321"/>
    <mergeCell ref="M317:M321"/>
    <mergeCell ref="N317:N321"/>
    <mergeCell ref="B317:B321"/>
    <mergeCell ref="C317:C321"/>
    <mergeCell ref="D317:D321"/>
    <mergeCell ref="E317:E321"/>
    <mergeCell ref="F317:F321"/>
    <mergeCell ref="H317:H321"/>
    <mergeCell ref="G317:G321"/>
    <mergeCell ref="E327:E331"/>
    <mergeCell ref="F327:F331"/>
    <mergeCell ref="H327:H331"/>
    <mergeCell ref="AD322:AD326"/>
    <mergeCell ref="AE322:AE326"/>
    <mergeCell ref="AF322:AF326"/>
    <mergeCell ref="AG322:AG326"/>
    <mergeCell ref="X322:X326"/>
    <mergeCell ref="Y322:Y326"/>
    <mergeCell ref="Z322:Z326"/>
    <mergeCell ref="AA322:AA326"/>
    <mergeCell ref="AB322:AB326"/>
    <mergeCell ref="AC322:AC326"/>
    <mergeCell ref="O322:O326"/>
    <mergeCell ref="P322:P326"/>
    <mergeCell ref="Q322:Q326"/>
    <mergeCell ref="S322:T322"/>
    <mergeCell ref="V322:V326"/>
    <mergeCell ref="W322:W326"/>
    <mergeCell ref="S326:T326"/>
    <mergeCell ref="I322:I326"/>
    <mergeCell ref="J322:J326"/>
    <mergeCell ref="K322:K326"/>
    <mergeCell ref="L322:L326"/>
    <mergeCell ref="M322:M326"/>
    <mergeCell ref="N322:N326"/>
    <mergeCell ref="G322:G326"/>
    <mergeCell ref="B332:B336"/>
    <mergeCell ref="C332:C336"/>
    <mergeCell ref="D332:D336"/>
    <mergeCell ref="E332:E336"/>
    <mergeCell ref="F332:F336"/>
    <mergeCell ref="H332:H336"/>
    <mergeCell ref="AD327:AD331"/>
    <mergeCell ref="AE327:AE331"/>
    <mergeCell ref="AF327:AF331"/>
    <mergeCell ref="AG327:AG331"/>
    <mergeCell ref="X327:X331"/>
    <mergeCell ref="Y327:Y331"/>
    <mergeCell ref="Z327:Z331"/>
    <mergeCell ref="AA327:AA331"/>
    <mergeCell ref="AB327:AB331"/>
    <mergeCell ref="AC327:AC331"/>
    <mergeCell ref="O327:O331"/>
    <mergeCell ref="P327:P331"/>
    <mergeCell ref="Q327:Q331"/>
    <mergeCell ref="S327:T327"/>
    <mergeCell ref="V327:V331"/>
    <mergeCell ref="W327:W331"/>
    <mergeCell ref="S331:T331"/>
    <mergeCell ref="I327:I331"/>
    <mergeCell ref="J327:J331"/>
    <mergeCell ref="K327:K331"/>
    <mergeCell ref="L327:L331"/>
    <mergeCell ref="M327:M331"/>
    <mergeCell ref="N327:N331"/>
    <mergeCell ref="B327:B331"/>
    <mergeCell ref="C327:C331"/>
    <mergeCell ref="D327:D331"/>
    <mergeCell ref="E339:E343"/>
    <mergeCell ref="F339:F343"/>
    <mergeCell ref="H339:H343"/>
    <mergeCell ref="I339:I343"/>
    <mergeCell ref="J339:J343"/>
    <mergeCell ref="K339:K343"/>
    <mergeCell ref="AD332:AD336"/>
    <mergeCell ref="AE332:AE336"/>
    <mergeCell ref="AF332:AF336"/>
    <mergeCell ref="AG332:AG336"/>
    <mergeCell ref="X332:X336"/>
    <mergeCell ref="Y332:Y336"/>
    <mergeCell ref="Z332:Z336"/>
    <mergeCell ref="AA332:AA336"/>
    <mergeCell ref="AB332:AB336"/>
    <mergeCell ref="AC332:AC336"/>
    <mergeCell ref="O332:O336"/>
    <mergeCell ref="P332:P336"/>
    <mergeCell ref="Q332:Q336"/>
    <mergeCell ref="S332:T332"/>
    <mergeCell ref="V332:V336"/>
    <mergeCell ref="W332:W336"/>
    <mergeCell ref="S336:T336"/>
    <mergeCell ref="I332:I336"/>
    <mergeCell ref="J332:J336"/>
    <mergeCell ref="K332:K336"/>
    <mergeCell ref="L332:L336"/>
    <mergeCell ref="M332:M336"/>
    <mergeCell ref="N332:N336"/>
    <mergeCell ref="AG339:AG343"/>
    <mergeCell ref="S343:T343"/>
    <mergeCell ref="AA339:AA343"/>
    <mergeCell ref="AB339:AB343"/>
    <mergeCell ref="AC339:AC343"/>
    <mergeCell ref="AD339:AD343"/>
    <mergeCell ref="AE339:AE343"/>
    <mergeCell ref="AF339:AF343"/>
    <mergeCell ref="S339:T339"/>
    <mergeCell ref="V339:V343"/>
    <mergeCell ref="W339:W343"/>
    <mergeCell ref="X339:X343"/>
    <mergeCell ref="Y339:Y343"/>
    <mergeCell ref="Z339:Z343"/>
    <mergeCell ref="L339:L343"/>
    <mergeCell ref="M339:M343"/>
    <mergeCell ref="N339:N343"/>
    <mergeCell ref="O339:O343"/>
    <mergeCell ref="P339:P343"/>
    <mergeCell ref="Q339:Q343"/>
    <mergeCell ref="AC354:AC358"/>
    <mergeCell ref="AF349:AF353"/>
    <mergeCell ref="AG349:AG353"/>
    <mergeCell ref="S353:T353"/>
    <mergeCell ref="AD344:AD348"/>
    <mergeCell ref="AE344:AE348"/>
    <mergeCell ref="AF344:AF348"/>
    <mergeCell ref="AG344:AG348"/>
    <mergeCell ref="X344:X348"/>
    <mergeCell ref="Y344:Y348"/>
    <mergeCell ref="Z344:Z348"/>
    <mergeCell ref="AA344:AA348"/>
    <mergeCell ref="AB344:AB348"/>
    <mergeCell ref="AC344:AC348"/>
    <mergeCell ref="O344:O348"/>
    <mergeCell ref="P344:P348"/>
    <mergeCell ref="Q344:Q348"/>
    <mergeCell ref="S344:T344"/>
    <mergeCell ref="V344:V348"/>
    <mergeCell ref="W344:W348"/>
    <mergeCell ref="S348:T348"/>
    <mergeCell ref="S349:T349"/>
    <mergeCell ref="V349:V353"/>
    <mergeCell ref="W349:W353"/>
    <mergeCell ref="X349:X353"/>
    <mergeCell ref="Y349:Y353"/>
    <mergeCell ref="Z349:Z353"/>
    <mergeCell ref="AA349:AA353"/>
    <mergeCell ref="AB349:AB353"/>
    <mergeCell ref="AC349:AC353"/>
    <mergeCell ref="AD349:AD353"/>
    <mergeCell ref="AE349:AE353"/>
    <mergeCell ref="AA366:AA370"/>
    <mergeCell ref="AB366:AB370"/>
    <mergeCell ref="AC366:AC370"/>
    <mergeCell ref="AD366:AD370"/>
    <mergeCell ref="AE366:AE370"/>
    <mergeCell ref="AF366:AF370"/>
    <mergeCell ref="AA361:AA365"/>
    <mergeCell ref="AB361:AB365"/>
    <mergeCell ref="AC361:AC365"/>
    <mergeCell ref="AD361:AD365"/>
    <mergeCell ref="AE361:AE365"/>
    <mergeCell ref="AF361:AF365"/>
    <mergeCell ref="AG361:AG365"/>
    <mergeCell ref="S365:T365"/>
    <mergeCell ref="B354:B358"/>
    <mergeCell ref="C354:C358"/>
    <mergeCell ref="D354:D358"/>
    <mergeCell ref="E354:E358"/>
    <mergeCell ref="F354:F358"/>
    <mergeCell ref="H354:H358"/>
    <mergeCell ref="I354:I358"/>
    <mergeCell ref="J354:J358"/>
    <mergeCell ref="K354:K358"/>
    <mergeCell ref="L354:L358"/>
    <mergeCell ref="M354:M358"/>
    <mergeCell ref="N354:N358"/>
    <mergeCell ref="O354:O358"/>
    <mergeCell ref="P354:P358"/>
    <mergeCell ref="Q354:Q358"/>
    <mergeCell ref="S354:T354"/>
    <mergeCell ref="V354:V358"/>
    <mergeCell ref="W354:W358"/>
    <mergeCell ref="G366:G370"/>
    <mergeCell ref="H366:H370"/>
    <mergeCell ref="I366:I370"/>
    <mergeCell ref="J366:J370"/>
    <mergeCell ref="K366:K370"/>
    <mergeCell ref="L366:L370"/>
    <mergeCell ref="M366:M370"/>
    <mergeCell ref="N366:N370"/>
    <mergeCell ref="O366:O370"/>
    <mergeCell ref="P366:P370"/>
    <mergeCell ref="Q366:Q370"/>
    <mergeCell ref="S366:T366"/>
    <mergeCell ref="V366:V370"/>
    <mergeCell ref="W366:W370"/>
    <mergeCell ref="X366:X370"/>
    <mergeCell ref="Y366:Y370"/>
    <mergeCell ref="Z366:Z370"/>
    <mergeCell ref="F376:F380"/>
    <mergeCell ref="H376:H380"/>
    <mergeCell ref="I376:I380"/>
    <mergeCell ref="J376:J380"/>
    <mergeCell ref="K376:K380"/>
    <mergeCell ref="L376:L380"/>
    <mergeCell ref="M376:M380"/>
    <mergeCell ref="N376:N380"/>
    <mergeCell ref="O376:O380"/>
    <mergeCell ref="P376:P380"/>
    <mergeCell ref="Q376:Q380"/>
    <mergeCell ref="S376:T376"/>
    <mergeCell ref="V376:V380"/>
    <mergeCell ref="W376:W380"/>
    <mergeCell ref="X376:X380"/>
    <mergeCell ref="S375:T375"/>
    <mergeCell ref="V371:V375"/>
    <mergeCell ref="W371:W375"/>
    <mergeCell ref="X371:X375"/>
    <mergeCell ref="V388:V392"/>
    <mergeCell ref="W388:W392"/>
    <mergeCell ref="X388:X392"/>
    <mergeCell ref="Y388:Y392"/>
    <mergeCell ref="Z388:Z392"/>
    <mergeCell ref="S387:T387"/>
    <mergeCell ref="W383:W387"/>
    <mergeCell ref="X383:X387"/>
    <mergeCell ref="Y383:Y387"/>
    <mergeCell ref="Z383:Z387"/>
    <mergeCell ref="AA383:AA387"/>
    <mergeCell ref="AB383:AB387"/>
    <mergeCell ref="AC383:AC387"/>
    <mergeCell ref="AD383:AD387"/>
    <mergeCell ref="AE383:AE387"/>
    <mergeCell ref="AF383:AF387"/>
    <mergeCell ref="AG383:AG387"/>
    <mergeCell ref="AA388:AA392"/>
    <mergeCell ref="AB388:AB392"/>
    <mergeCell ref="AC388:AC392"/>
    <mergeCell ref="AD388:AD392"/>
    <mergeCell ref="AE388:AE392"/>
    <mergeCell ref="AF388:AF392"/>
    <mergeCell ref="AG388:AG392"/>
    <mergeCell ref="V405:V409"/>
    <mergeCell ref="W405:W409"/>
    <mergeCell ref="X405:X409"/>
    <mergeCell ref="Y405:Y409"/>
    <mergeCell ref="Z405:Z409"/>
    <mergeCell ref="Z398:Z402"/>
    <mergeCell ref="AA398:AA402"/>
    <mergeCell ref="AB398:AB402"/>
    <mergeCell ref="AC398:AC402"/>
    <mergeCell ref="AD398:AD402"/>
    <mergeCell ref="AE398:AE402"/>
    <mergeCell ref="AF398:AF402"/>
    <mergeCell ref="AG398:AG402"/>
    <mergeCell ref="S402:T402"/>
    <mergeCell ref="S392:T392"/>
    <mergeCell ref="B388:B392"/>
    <mergeCell ref="C388:C392"/>
    <mergeCell ref="D388:D392"/>
    <mergeCell ref="E388:E392"/>
    <mergeCell ref="F388:F392"/>
    <mergeCell ref="G388:G392"/>
    <mergeCell ref="H388:H392"/>
    <mergeCell ref="I388:I392"/>
    <mergeCell ref="J388:J392"/>
    <mergeCell ref="K388:K392"/>
    <mergeCell ref="L388:L392"/>
    <mergeCell ref="M388:M392"/>
    <mergeCell ref="N388:N392"/>
    <mergeCell ref="O388:O392"/>
    <mergeCell ref="P388:P392"/>
    <mergeCell ref="Q388:Q392"/>
    <mergeCell ref="S388:T388"/>
    <mergeCell ref="B405:B409"/>
    <mergeCell ref="C405:C409"/>
    <mergeCell ref="D405:D409"/>
    <mergeCell ref="E405:E409"/>
    <mergeCell ref="F405:F409"/>
    <mergeCell ref="G405:G409"/>
    <mergeCell ref="H405:H409"/>
    <mergeCell ref="I405:I409"/>
    <mergeCell ref="J405:J409"/>
    <mergeCell ref="K405:K409"/>
    <mergeCell ref="L405:L409"/>
    <mergeCell ref="M405:M409"/>
    <mergeCell ref="N405:N409"/>
    <mergeCell ref="O405:O409"/>
    <mergeCell ref="P405:P409"/>
    <mergeCell ref="Q405:Q409"/>
    <mergeCell ref="S405:T405"/>
    <mergeCell ref="AG427:AG431"/>
    <mergeCell ref="S420:T420"/>
    <mergeCell ref="S419:T419"/>
    <mergeCell ref="B420:B424"/>
    <mergeCell ref="C420:C424"/>
    <mergeCell ref="D420:D424"/>
    <mergeCell ref="E420:E424"/>
    <mergeCell ref="F420:F424"/>
    <mergeCell ref="H420:H424"/>
    <mergeCell ref="I420:I424"/>
    <mergeCell ref="J420:J424"/>
    <mergeCell ref="K420:K424"/>
    <mergeCell ref="L420:L424"/>
    <mergeCell ref="M420:M424"/>
    <mergeCell ref="N420:N424"/>
    <mergeCell ref="O420:O424"/>
    <mergeCell ref="W427:W431"/>
    <mergeCell ref="S431:T431"/>
    <mergeCell ref="P420:P424"/>
    <mergeCell ref="Q420:Q424"/>
    <mergeCell ref="V420:V424"/>
    <mergeCell ref="W420:W424"/>
    <mergeCell ref="X420:X424"/>
    <mergeCell ref="Y420:Y424"/>
    <mergeCell ref="Z420:Z424"/>
    <mergeCell ref="Y415:Y419"/>
    <mergeCell ref="Z415:Z419"/>
    <mergeCell ref="AA415:AA419"/>
    <mergeCell ref="AB415:AB419"/>
    <mergeCell ref="AC415:AC419"/>
    <mergeCell ref="AD415:AD419"/>
    <mergeCell ref="AE415:AE419"/>
    <mergeCell ref="B432:B436"/>
    <mergeCell ref="C432:C436"/>
    <mergeCell ref="D432:D436"/>
    <mergeCell ref="E432:E436"/>
    <mergeCell ref="F432:F436"/>
    <mergeCell ref="G432:G436"/>
    <mergeCell ref="H432:H436"/>
    <mergeCell ref="I432:I436"/>
    <mergeCell ref="J432:J436"/>
    <mergeCell ref="K432:K436"/>
    <mergeCell ref="L432:L436"/>
    <mergeCell ref="M432:M436"/>
    <mergeCell ref="S427:T427"/>
    <mergeCell ref="X427:X431"/>
    <mergeCell ref="Y427:Y431"/>
    <mergeCell ref="Y449:Y453"/>
    <mergeCell ref="Z449:Z453"/>
    <mergeCell ref="N432:N436"/>
    <mergeCell ref="O432:O436"/>
    <mergeCell ref="P432:P436"/>
    <mergeCell ref="Q432:Q436"/>
    <mergeCell ref="V432:V436"/>
    <mergeCell ref="W432:W436"/>
    <mergeCell ref="X432:X436"/>
    <mergeCell ref="Y432:Y436"/>
    <mergeCell ref="Z432:Z436"/>
    <mergeCell ref="N442:N446"/>
    <mergeCell ref="O442:O446"/>
    <mergeCell ref="P442:P446"/>
    <mergeCell ref="Q442:Q446"/>
    <mergeCell ref="S442:T442"/>
    <mergeCell ref="V442:V446"/>
    <mergeCell ref="AA449:AA453"/>
    <mergeCell ref="AB449:AB453"/>
    <mergeCell ref="AC449:AC453"/>
    <mergeCell ref="AD449:AD453"/>
    <mergeCell ref="AE449:AE453"/>
    <mergeCell ref="AF449:AF453"/>
    <mergeCell ref="AG449:AG453"/>
    <mergeCell ref="B437:B441"/>
    <mergeCell ref="C437:C441"/>
    <mergeCell ref="D437:D441"/>
    <mergeCell ref="E437:E441"/>
    <mergeCell ref="F437:F441"/>
    <mergeCell ref="H437:H441"/>
    <mergeCell ref="I437:I441"/>
    <mergeCell ref="J437:J441"/>
    <mergeCell ref="K437:K441"/>
    <mergeCell ref="L437:L441"/>
    <mergeCell ref="M437:M441"/>
    <mergeCell ref="N437:N441"/>
    <mergeCell ref="O437:O441"/>
    <mergeCell ref="P437:P441"/>
    <mergeCell ref="B442:B446"/>
    <mergeCell ref="C442:C446"/>
    <mergeCell ref="D442:D446"/>
    <mergeCell ref="E442:E446"/>
    <mergeCell ref="F442:F446"/>
    <mergeCell ref="H442:H446"/>
    <mergeCell ref="I442:I446"/>
    <mergeCell ref="J442:J446"/>
    <mergeCell ref="K442:K446"/>
    <mergeCell ref="L442:L446"/>
    <mergeCell ref="M442:M446"/>
    <mergeCell ref="I459:I463"/>
    <mergeCell ref="J459:J463"/>
    <mergeCell ref="K459:K463"/>
    <mergeCell ref="S453:T453"/>
    <mergeCell ref="B454:B458"/>
    <mergeCell ref="C454:C458"/>
    <mergeCell ref="D454:D458"/>
    <mergeCell ref="E454:E458"/>
    <mergeCell ref="F454:F458"/>
    <mergeCell ref="G454:G458"/>
    <mergeCell ref="H454:H458"/>
    <mergeCell ref="I454:I458"/>
    <mergeCell ref="J454:J458"/>
    <mergeCell ref="K454:K458"/>
    <mergeCell ref="L454:L458"/>
    <mergeCell ref="M454:M458"/>
    <mergeCell ref="N454:N458"/>
    <mergeCell ref="O454:O458"/>
    <mergeCell ref="P454:P458"/>
    <mergeCell ref="Q454:Q458"/>
    <mergeCell ref="S454:T454"/>
    <mergeCell ref="B464:B468"/>
    <mergeCell ref="C464:C468"/>
    <mergeCell ref="D464:D468"/>
    <mergeCell ref="E464:E468"/>
    <mergeCell ref="F464:F468"/>
    <mergeCell ref="H464:H468"/>
    <mergeCell ref="AG459:AG463"/>
    <mergeCell ref="S463:T463"/>
    <mergeCell ref="AA459:AA463"/>
    <mergeCell ref="AB459:AB463"/>
    <mergeCell ref="AC459:AC463"/>
    <mergeCell ref="AD459:AD463"/>
    <mergeCell ref="AE459:AE463"/>
    <mergeCell ref="AF459:AF463"/>
    <mergeCell ref="S459:T459"/>
    <mergeCell ref="V459:V463"/>
    <mergeCell ref="W459:W463"/>
    <mergeCell ref="X459:X463"/>
    <mergeCell ref="Y459:Y463"/>
    <mergeCell ref="Z459:Z463"/>
    <mergeCell ref="L459:L463"/>
    <mergeCell ref="M459:M463"/>
    <mergeCell ref="N459:N463"/>
    <mergeCell ref="O459:O463"/>
    <mergeCell ref="P459:P463"/>
    <mergeCell ref="Q459:Q463"/>
    <mergeCell ref="B459:B463"/>
    <mergeCell ref="C459:C463"/>
    <mergeCell ref="D459:D463"/>
    <mergeCell ref="E459:E463"/>
    <mergeCell ref="F459:F463"/>
    <mergeCell ref="H459:H463"/>
    <mergeCell ref="Y464:Y468"/>
    <mergeCell ref="Z464:Z468"/>
    <mergeCell ref="AA464:AA468"/>
    <mergeCell ref="AB464:AB468"/>
    <mergeCell ref="AC464:AC468"/>
    <mergeCell ref="O464:O468"/>
    <mergeCell ref="P464:P468"/>
    <mergeCell ref="Q464:Q468"/>
    <mergeCell ref="S464:T464"/>
    <mergeCell ref="V464:V468"/>
    <mergeCell ref="W464:W468"/>
    <mergeCell ref="S468:T468"/>
    <mergeCell ref="I464:I468"/>
    <mergeCell ref="J464:J468"/>
    <mergeCell ref="K464:K468"/>
    <mergeCell ref="L464:L468"/>
    <mergeCell ref="M464:M468"/>
    <mergeCell ref="N464:N468"/>
    <mergeCell ref="S138:T138"/>
    <mergeCell ref="B141:B145"/>
    <mergeCell ref="C141:C145"/>
    <mergeCell ref="D141:D145"/>
    <mergeCell ref="E141:E145"/>
    <mergeCell ref="F141:F145"/>
    <mergeCell ref="AG471:AG475"/>
    <mergeCell ref="S475:T475"/>
    <mergeCell ref="AA471:AA475"/>
    <mergeCell ref="AB471:AB475"/>
    <mergeCell ref="AC471:AC475"/>
    <mergeCell ref="AD471:AD475"/>
    <mergeCell ref="AE471:AE475"/>
    <mergeCell ref="AF471:AF475"/>
    <mergeCell ref="S471:T471"/>
    <mergeCell ref="V471:V475"/>
    <mergeCell ref="W471:W475"/>
    <mergeCell ref="X471:X475"/>
    <mergeCell ref="Y471:Y475"/>
    <mergeCell ref="Z471:Z475"/>
    <mergeCell ref="L471:L475"/>
    <mergeCell ref="M471:M475"/>
    <mergeCell ref="AD464:AD468"/>
    <mergeCell ref="AE464:AE468"/>
    <mergeCell ref="AF464:AF468"/>
    <mergeCell ref="AG464:AG468"/>
    <mergeCell ref="X464:X468"/>
    <mergeCell ref="G141:G145"/>
    <mergeCell ref="H141:H145"/>
    <mergeCell ref="I141:I145"/>
    <mergeCell ref="J141:J145"/>
    <mergeCell ref="K141:K145"/>
    <mergeCell ref="AD676:AD680"/>
    <mergeCell ref="AE676:AE680"/>
    <mergeCell ref="AF676:AF680"/>
    <mergeCell ref="AG676:AG680"/>
    <mergeCell ref="X676:X680"/>
    <mergeCell ref="Y676:Y680"/>
    <mergeCell ref="Z676:Z680"/>
    <mergeCell ref="AA676:AA680"/>
    <mergeCell ref="AB676:AB680"/>
    <mergeCell ref="AC676:AC680"/>
    <mergeCell ref="O676:O680"/>
    <mergeCell ref="P676:P680"/>
    <mergeCell ref="Q676:Q680"/>
    <mergeCell ref="S676:T676"/>
    <mergeCell ref="V676:V680"/>
    <mergeCell ref="W676:W680"/>
    <mergeCell ref="S680:T680"/>
    <mergeCell ref="AD681:AD685"/>
    <mergeCell ref="AE681:AE685"/>
    <mergeCell ref="B681:B685"/>
    <mergeCell ref="C681:C685"/>
    <mergeCell ref="D681:D685"/>
    <mergeCell ref="E681:E685"/>
    <mergeCell ref="F681:F685"/>
    <mergeCell ref="H681:H685"/>
    <mergeCell ref="S690:T690"/>
    <mergeCell ref="AF681:AF685"/>
    <mergeCell ref="AG681:AG685"/>
    <mergeCell ref="X681:X685"/>
    <mergeCell ref="Y681:Y685"/>
    <mergeCell ref="Z681:Z685"/>
    <mergeCell ref="AA681:AA685"/>
    <mergeCell ref="AB681:AB685"/>
    <mergeCell ref="AC681:AC685"/>
    <mergeCell ref="O681:O685"/>
    <mergeCell ref="P681:P685"/>
    <mergeCell ref="Q681:Q685"/>
    <mergeCell ref="S681:T681"/>
    <mergeCell ref="V681:V685"/>
    <mergeCell ref="W681:W685"/>
    <mergeCell ref="S685:T685"/>
    <mergeCell ref="I681:I685"/>
    <mergeCell ref="J681:J685"/>
    <mergeCell ref="K681:K685"/>
    <mergeCell ref="L681:L685"/>
    <mergeCell ref="M681:M685"/>
    <mergeCell ref="N681:N685"/>
    <mergeCell ref="B693:B697"/>
    <mergeCell ref="C693:C697"/>
    <mergeCell ref="D693:D697"/>
    <mergeCell ref="E693:E697"/>
    <mergeCell ref="F693:F697"/>
    <mergeCell ref="G693:G697"/>
    <mergeCell ref="H693:H697"/>
    <mergeCell ref="I693:I697"/>
    <mergeCell ref="J693:J697"/>
    <mergeCell ref="K693:K697"/>
    <mergeCell ref="L693:L697"/>
    <mergeCell ref="M693:M697"/>
    <mergeCell ref="N693:N697"/>
    <mergeCell ref="O693:O697"/>
    <mergeCell ref="I676:I680"/>
    <mergeCell ref="J676:J680"/>
    <mergeCell ref="K676:K680"/>
    <mergeCell ref="L676:L680"/>
    <mergeCell ref="M676:M680"/>
    <mergeCell ref="N676:N680"/>
    <mergeCell ref="B676:B680"/>
    <mergeCell ref="C676:C680"/>
    <mergeCell ref="D676:D680"/>
    <mergeCell ref="E676:E680"/>
    <mergeCell ref="F676:F680"/>
    <mergeCell ref="H676:H680"/>
    <mergeCell ref="AD23:AD27"/>
    <mergeCell ref="AE23:AE27"/>
    <mergeCell ref="AF23:AF27"/>
    <mergeCell ref="AG23:AG27"/>
    <mergeCell ref="S27:T27"/>
    <mergeCell ref="G31:G35"/>
    <mergeCell ref="B41:B45"/>
    <mergeCell ref="C41:C45"/>
    <mergeCell ref="D41:D45"/>
    <mergeCell ref="E41:E45"/>
    <mergeCell ref="F41:F45"/>
    <mergeCell ref="H41:H45"/>
    <mergeCell ref="I41:I45"/>
    <mergeCell ref="J41:J45"/>
    <mergeCell ref="K41:K45"/>
    <mergeCell ref="L41:L45"/>
    <mergeCell ref="M41:M45"/>
    <mergeCell ref="N41:N45"/>
    <mergeCell ref="O41:O45"/>
    <mergeCell ref="P41:P45"/>
    <mergeCell ref="Q41:Q45"/>
    <mergeCell ref="S41:T41"/>
    <mergeCell ref="V41:V45"/>
    <mergeCell ref="W41:W45"/>
    <mergeCell ref="X41:X45"/>
    <mergeCell ref="Y41:Y45"/>
    <mergeCell ref="Z41:Z45"/>
    <mergeCell ref="AA41:AA45"/>
    <mergeCell ref="AB41:AB45"/>
    <mergeCell ref="G36:G40"/>
    <mergeCell ref="AG31:AG35"/>
    <mergeCell ref="S35:T35"/>
    <mergeCell ref="B46:B50"/>
    <mergeCell ref="C46:C50"/>
    <mergeCell ref="D46:D50"/>
    <mergeCell ref="E46:E50"/>
    <mergeCell ref="F46:F50"/>
    <mergeCell ref="H46:H50"/>
    <mergeCell ref="I46:I50"/>
    <mergeCell ref="J46:J50"/>
    <mergeCell ref="K46:K50"/>
    <mergeCell ref="L46:L50"/>
    <mergeCell ref="M46:M50"/>
    <mergeCell ref="N46:N50"/>
    <mergeCell ref="O46:O50"/>
    <mergeCell ref="P46:P50"/>
    <mergeCell ref="Q46:Q50"/>
    <mergeCell ref="F23:F27"/>
    <mergeCell ref="H23:H27"/>
    <mergeCell ref="I23:I27"/>
    <mergeCell ref="J23:J27"/>
    <mergeCell ref="K23:K27"/>
    <mergeCell ref="L23:L27"/>
    <mergeCell ref="M23:M27"/>
    <mergeCell ref="N23:N27"/>
    <mergeCell ref="O23:O27"/>
    <mergeCell ref="P23:P27"/>
    <mergeCell ref="Q23:Q27"/>
    <mergeCell ref="O36:O40"/>
    <mergeCell ref="P36:P40"/>
    <mergeCell ref="Q36:Q40"/>
    <mergeCell ref="I36:I40"/>
    <mergeCell ref="AF46:AF50"/>
    <mergeCell ref="AG46:AG50"/>
    <mergeCell ref="S50:T50"/>
    <mergeCell ref="B53:B57"/>
    <mergeCell ref="C53:C57"/>
    <mergeCell ref="D53:D57"/>
    <mergeCell ref="E53:E57"/>
    <mergeCell ref="F53:F57"/>
    <mergeCell ref="G53:G57"/>
    <mergeCell ref="H53:H57"/>
    <mergeCell ref="I53:I57"/>
    <mergeCell ref="J53:J57"/>
    <mergeCell ref="K53:K57"/>
    <mergeCell ref="L53:L57"/>
    <mergeCell ref="M53:M57"/>
    <mergeCell ref="N53:N57"/>
    <mergeCell ref="O53:O57"/>
    <mergeCell ref="P53:P57"/>
    <mergeCell ref="Q53:Q57"/>
    <mergeCell ref="S53:T53"/>
    <mergeCell ref="V53:V57"/>
    <mergeCell ref="W53:W57"/>
    <mergeCell ref="X53:X57"/>
    <mergeCell ref="Y53:Y57"/>
    <mergeCell ref="Z53:Z57"/>
    <mergeCell ref="AA53:AA57"/>
    <mergeCell ref="AB53:AB57"/>
    <mergeCell ref="AC53:AC57"/>
    <mergeCell ref="AD53:AD57"/>
    <mergeCell ref="AE53:AE57"/>
    <mergeCell ref="AF53:AF57"/>
    <mergeCell ref="AG53:AG57"/>
    <mergeCell ref="S57:T57"/>
    <mergeCell ref="B58:B62"/>
    <mergeCell ref="C58:C62"/>
    <mergeCell ref="D58:D62"/>
    <mergeCell ref="E58:E62"/>
    <mergeCell ref="F58:F62"/>
    <mergeCell ref="G58:G62"/>
    <mergeCell ref="H58:H62"/>
    <mergeCell ref="I58:I62"/>
    <mergeCell ref="J58:J62"/>
    <mergeCell ref="K58:K62"/>
    <mergeCell ref="L58:L62"/>
    <mergeCell ref="M58:M62"/>
    <mergeCell ref="N58:N62"/>
    <mergeCell ref="O58:O62"/>
    <mergeCell ref="P58:P62"/>
    <mergeCell ref="Q58:Q62"/>
    <mergeCell ref="S58:T58"/>
    <mergeCell ref="V58:V62"/>
    <mergeCell ref="W58:W62"/>
    <mergeCell ref="X58:X62"/>
    <mergeCell ref="Y58:Y62"/>
    <mergeCell ref="Z58:Z62"/>
    <mergeCell ref="AA58:AA62"/>
    <mergeCell ref="AB58:AB62"/>
    <mergeCell ref="AC58:AC62"/>
    <mergeCell ref="AD58:AD62"/>
    <mergeCell ref="AE58:AE62"/>
    <mergeCell ref="AF58:AF62"/>
    <mergeCell ref="AG58:AG62"/>
    <mergeCell ref="S62:T62"/>
    <mergeCell ref="B63:B67"/>
    <mergeCell ref="C63:C67"/>
    <mergeCell ref="D63:D67"/>
    <mergeCell ref="E63:E67"/>
    <mergeCell ref="F63:F67"/>
    <mergeCell ref="H63:H67"/>
    <mergeCell ref="I63:I67"/>
    <mergeCell ref="J63:J67"/>
    <mergeCell ref="K63:K67"/>
    <mergeCell ref="L63:L67"/>
    <mergeCell ref="M63:M67"/>
    <mergeCell ref="N63:N67"/>
    <mergeCell ref="O63:O67"/>
    <mergeCell ref="P63:P67"/>
    <mergeCell ref="Q63:Q67"/>
    <mergeCell ref="S63:T63"/>
    <mergeCell ref="V63:V67"/>
    <mergeCell ref="W63:W67"/>
    <mergeCell ref="X63:X67"/>
    <mergeCell ref="Y63:Y67"/>
    <mergeCell ref="Z63:Z67"/>
    <mergeCell ref="AA63:AA67"/>
    <mergeCell ref="AB63:AB67"/>
    <mergeCell ref="AC63:AC67"/>
    <mergeCell ref="AD63:AD67"/>
    <mergeCell ref="AE63:AE67"/>
    <mergeCell ref="AF63:AF67"/>
    <mergeCell ref="AG63:AG67"/>
    <mergeCell ref="S67:T67"/>
    <mergeCell ref="B68:B72"/>
    <mergeCell ref="C68:C72"/>
    <mergeCell ref="D68:D72"/>
    <mergeCell ref="E68:E72"/>
    <mergeCell ref="F68:F72"/>
    <mergeCell ref="H68:H72"/>
    <mergeCell ref="I68:I72"/>
    <mergeCell ref="J68:J72"/>
    <mergeCell ref="K68:K72"/>
    <mergeCell ref="L68:L72"/>
    <mergeCell ref="M68:M72"/>
    <mergeCell ref="N68:N72"/>
    <mergeCell ref="O68:O72"/>
    <mergeCell ref="P68:P72"/>
    <mergeCell ref="Q68:Q72"/>
    <mergeCell ref="S68:T68"/>
    <mergeCell ref="V68:V72"/>
    <mergeCell ref="W68:W72"/>
    <mergeCell ref="X68:X72"/>
    <mergeCell ref="Y68:Y72"/>
    <mergeCell ref="Z68:Z72"/>
    <mergeCell ref="AA68:AA72"/>
    <mergeCell ref="AB68:AB72"/>
    <mergeCell ref="AC68:AC72"/>
    <mergeCell ref="AD68:AD72"/>
    <mergeCell ref="AE68:AE72"/>
    <mergeCell ref="AF68:AF72"/>
    <mergeCell ref="AG68:AG72"/>
    <mergeCell ref="S72:T72"/>
    <mergeCell ref="B75:B79"/>
    <mergeCell ref="C75:C79"/>
    <mergeCell ref="D75:D79"/>
    <mergeCell ref="E75:E79"/>
    <mergeCell ref="F75:F79"/>
    <mergeCell ref="G75:G79"/>
    <mergeCell ref="H75:H79"/>
    <mergeCell ref="I75:I79"/>
    <mergeCell ref="J75:J79"/>
    <mergeCell ref="K75:K79"/>
    <mergeCell ref="L75:L79"/>
    <mergeCell ref="M75:M79"/>
    <mergeCell ref="N75:N79"/>
    <mergeCell ref="O75:O79"/>
    <mergeCell ref="P75:P79"/>
    <mergeCell ref="Q75:Q79"/>
    <mergeCell ref="S75:T75"/>
    <mergeCell ref="AC80:AC84"/>
    <mergeCell ref="AD80:AD84"/>
    <mergeCell ref="AE80:AE84"/>
    <mergeCell ref="AF80:AF84"/>
    <mergeCell ref="AG80:AG84"/>
    <mergeCell ref="S84:T84"/>
    <mergeCell ref="B85:B89"/>
    <mergeCell ref="C85:C89"/>
    <mergeCell ref="D85:D89"/>
    <mergeCell ref="E85:E89"/>
    <mergeCell ref="F85:F89"/>
    <mergeCell ref="H85:H89"/>
    <mergeCell ref="I85:I89"/>
    <mergeCell ref="J85:J89"/>
    <mergeCell ref="K85:K89"/>
    <mergeCell ref="L85:L89"/>
    <mergeCell ref="M85:M89"/>
    <mergeCell ref="N85:N89"/>
    <mergeCell ref="O85:O89"/>
    <mergeCell ref="P85:P89"/>
    <mergeCell ref="Q85:Q89"/>
    <mergeCell ref="S85:T85"/>
    <mergeCell ref="V85:V89"/>
    <mergeCell ref="S89:T89"/>
    <mergeCell ref="B80:B84"/>
    <mergeCell ref="C80:C84"/>
    <mergeCell ref="D80:D84"/>
    <mergeCell ref="E80:E84"/>
    <mergeCell ref="F80:F84"/>
    <mergeCell ref="G80:G84"/>
    <mergeCell ref="H80:H84"/>
    <mergeCell ref="I80:I84"/>
    <mergeCell ref="B90:B94"/>
    <mergeCell ref="C90:C94"/>
    <mergeCell ref="D90:D94"/>
    <mergeCell ref="E90:E94"/>
    <mergeCell ref="F90:F94"/>
    <mergeCell ref="H90:H94"/>
    <mergeCell ref="I90:I94"/>
    <mergeCell ref="J90:J94"/>
    <mergeCell ref="K90:K94"/>
    <mergeCell ref="L90:L94"/>
    <mergeCell ref="M90:M94"/>
    <mergeCell ref="N90:N94"/>
    <mergeCell ref="O90:O94"/>
    <mergeCell ref="P90:P94"/>
    <mergeCell ref="Q90:Q94"/>
    <mergeCell ref="S90:T90"/>
    <mergeCell ref="V90:V94"/>
    <mergeCell ref="Y90:Y94"/>
    <mergeCell ref="Z90:Z94"/>
    <mergeCell ref="AA90:AA94"/>
    <mergeCell ref="AB90:AB94"/>
    <mergeCell ref="AC90:AC94"/>
    <mergeCell ref="AD90:AD94"/>
    <mergeCell ref="AE90:AE94"/>
    <mergeCell ref="AF90:AF94"/>
    <mergeCell ref="AG90:AG94"/>
    <mergeCell ref="S94:T94"/>
    <mergeCell ref="B97:B101"/>
    <mergeCell ref="C97:C101"/>
    <mergeCell ref="D97:D101"/>
    <mergeCell ref="E97:E101"/>
    <mergeCell ref="F97:F101"/>
    <mergeCell ref="G97:G101"/>
    <mergeCell ref="H97:H101"/>
    <mergeCell ref="I97:I101"/>
    <mergeCell ref="J97:J101"/>
    <mergeCell ref="K97:K101"/>
    <mergeCell ref="L97:L101"/>
    <mergeCell ref="M97:M101"/>
    <mergeCell ref="N97:N101"/>
    <mergeCell ref="O97:O101"/>
    <mergeCell ref="P97:P101"/>
    <mergeCell ref="Q97:Q101"/>
    <mergeCell ref="S97:T97"/>
    <mergeCell ref="V97:V101"/>
    <mergeCell ref="W97:W101"/>
    <mergeCell ref="X97:X101"/>
    <mergeCell ref="Y97:Y101"/>
    <mergeCell ref="Z97:Z101"/>
    <mergeCell ref="AA97:AA101"/>
    <mergeCell ref="AB97:AB101"/>
    <mergeCell ref="AC97:AC101"/>
    <mergeCell ref="AD97:AD101"/>
    <mergeCell ref="AE97:AE101"/>
    <mergeCell ref="AF97:AF101"/>
    <mergeCell ref="AG97:AG101"/>
    <mergeCell ref="S101:T101"/>
    <mergeCell ref="B102:B106"/>
    <mergeCell ref="C102:C106"/>
    <mergeCell ref="D102:D106"/>
    <mergeCell ref="E102:E106"/>
    <mergeCell ref="F102:F106"/>
    <mergeCell ref="G102:G106"/>
    <mergeCell ref="H102:H106"/>
    <mergeCell ref="I102:I106"/>
    <mergeCell ref="J102:J106"/>
    <mergeCell ref="K102:K106"/>
    <mergeCell ref="L102:L106"/>
    <mergeCell ref="M102:M106"/>
    <mergeCell ref="N102:N106"/>
    <mergeCell ref="O102:O106"/>
    <mergeCell ref="P102:P106"/>
    <mergeCell ref="Q102:Q106"/>
    <mergeCell ref="S102:T102"/>
    <mergeCell ref="V102:V106"/>
    <mergeCell ref="W102:W106"/>
    <mergeCell ref="X102:X106"/>
    <mergeCell ref="Y102:Y106"/>
    <mergeCell ref="Z102:Z106"/>
    <mergeCell ref="AA102:AA106"/>
    <mergeCell ref="AB102:AB106"/>
    <mergeCell ref="AC102:AC106"/>
    <mergeCell ref="AD102:AD106"/>
    <mergeCell ref="AE102:AE106"/>
    <mergeCell ref="AF102:AF106"/>
    <mergeCell ref="AG102:AG106"/>
    <mergeCell ref="S106:T106"/>
    <mergeCell ref="B107:B111"/>
    <mergeCell ref="C107:C111"/>
    <mergeCell ref="D107:D111"/>
    <mergeCell ref="E107:E111"/>
    <mergeCell ref="F107:F111"/>
    <mergeCell ref="H107:H111"/>
    <mergeCell ref="I107:I111"/>
    <mergeCell ref="J107:J111"/>
    <mergeCell ref="K107:K111"/>
    <mergeCell ref="L107:L111"/>
    <mergeCell ref="M107:M111"/>
    <mergeCell ref="N107:N111"/>
    <mergeCell ref="O107:O111"/>
    <mergeCell ref="P107:P111"/>
    <mergeCell ref="Q107:Q111"/>
    <mergeCell ref="S107:T107"/>
    <mergeCell ref="V107:V111"/>
    <mergeCell ref="W107:W111"/>
    <mergeCell ref="X107:X111"/>
    <mergeCell ref="Y107:Y111"/>
    <mergeCell ref="Z107:Z111"/>
    <mergeCell ref="AA107:AA111"/>
    <mergeCell ref="AB107:AB111"/>
    <mergeCell ref="AC107:AC111"/>
    <mergeCell ref="AD107:AD111"/>
    <mergeCell ref="AE107:AE111"/>
    <mergeCell ref="AF107:AF111"/>
    <mergeCell ref="AG107:AG111"/>
    <mergeCell ref="S111:T111"/>
    <mergeCell ref="B112:B116"/>
    <mergeCell ref="C112:C116"/>
    <mergeCell ref="D112:D116"/>
    <mergeCell ref="E112:E116"/>
    <mergeCell ref="F112:F116"/>
    <mergeCell ref="H112:H116"/>
    <mergeCell ref="I112:I116"/>
    <mergeCell ref="J112:J116"/>
    <mergeCell ref="K112:K116"/>
    <mergeCell ref="L112:L116"/>
    <mergeCell ref="M112:M116"/>
    <mergeCell ref="N112:N116"/>
    <mergeCell ref="O112:O116"/>
    <mergeCell ref="P112:P116"/>
    <mergeCell ref="Q112:Q116"/>
    <mergeCell ref="S112:T112"/>
    <mergeCell ref="V112:V116"/>
    <mergeCell ref="W112:W116"/>
    <mergeCell ref="X112:X116"/>
    <mergeCell ref="Y112:Y116"/>
    <mergeCell ref="Z112:Z116"/>
    <mergeCell ref="AA112:AA116"/>
    <mergeCell ref="AB112:AB116"/>
    <mergeCell ref="AC112:AC116"/>
    <mergeCell ref="AD112:AD116"/>
    <mergeCell ref="AE112:AE116"/>
    <mergeCell ref="AF112:AF116"/>
    <mergeCell ref="AG112:AG116"/>
    <mergeCell ref="S116:T116"/>
    <mergeCell ref="G119:G123"/>
    <mergeCell ref="G124:G128"/>
    <mergeCell ref="B129:B133"/>
    <mergeCell ref="C129:C133"/>
    <mergeCell ref="D129:D133"/>
    <mergeCell ref="E129:E133"/>
    <mergeCell ref="F129:F133"/>
    <mergeCell ref="H129:H133"/>
    <mergeCell ref="I129:I133"/>
    <mergeCell ref="J129:J133"/>
    <mergeCell ref="K129:K133"/>
    <mergeCell ref="L129:L133"/>
    <mergeCell ref="M129:M133"/>
    <mergeCell ref="N129:N133"/>
    <mergeCell ref="O129:O133"/>
    <mergeCell ref="P129:P133"/>
    <mergeCell ref="Q129:Q133"/>
    <mergeCell ref="O124:O128"/>
    <mergeCell ref="P124:P128"/>
    <mergeCell ref="Q124:Q128"/>
    <mergeCell ref="N119:N123"/>
    <mergeCell ref="O119:O123"/>
    <mergeCell ref="P119:P123"/>
    <mergeCell ref="Q119:Q123"/>
    <mergeCell ref="B119:B123"/>
    <mergeCell ref="C119:C123"/>
    <mergeCell ref="D119:D123"/>
    <mergeCell ref="E119:E123"/>
    <mergeCell ref="F119:F123"/>
    <mergeCell ref="H119:H123"/>
    <mergeCell ref="I119:I123"/>
    <mergeCell ref="J119:J123"/>
    <mergeCell ref="S129:T129"/>
    <mergeCell ref="V129:V133"/>
    <mergeCell ref="W129:W133"/>
    <mergeCell ref="X129:X133"/>
    <mergeCell ref="Y129:Y133"/>
    <mergeCell ref="Z129:Z133"/>
    <mergeCell ref="AA129:AA133"/>
    <mergeCell ref="AB129:AB133"/>
    <mergeCell ref="AC129:AC133"/>
    <mergeCell ref="AD129:AD133"/>
    <mergeCell ref="AE129:AE133"/>
    <mergeCell ref="AF129:AF133"/>
    <mergeCell ref="AG129:AG133"/>
    <mergeCell ref="S133:T133"/>
    <mergeCell ref="B134:B138"/>
    <mergeCell ref="C134:C138"/>
    <mergeCell ref="D134:D138"/>
    <mergeCell ref="E134:E138"/>
    <mergeCell ref="F134:F138"/>
    <mergeCell ref="H134:H138"/>
    <mergeCell ref="I134:I138"/>
    <mergeCell ref="J134:J138"/>
    <mergeCell ref="K134:K138"/>
    <mergeCell ref="L134:L138"/>
    <mergeCell ref="M134:M138"/>
    <mergeCell ref="N134:N138"/>
    <mergeCell ref="O134:O138"/>
    <mergeCell ref="P134:P138"/>
    <mergeCell ref="Q134:Q138"/>
    <mergeCell ref="S134:T134"/>
    <mergeCell ref="V134:V138"/>
    <mergeCell ref="W134:W138"/>
    <mergeCell ref="AB146:AB150"/>
    <mergeCell ref="AC146:AC150"/>
    <mergeCell ref="AD146:AD150"/>
    <mergeCell ref="AB141:AB145"/>
    <mergeCell ref="AC141:AC145"/>
    <mergeCell ref="AD141:AD145"/>
    <mergeCell ref="AE146:AE150"/>
    <mergeCell ref="AF146:AF150"/>
    <mergeCell ref="AG146:AG150"/>
    <mergeCell ref="S150:T150"/>
    <mergeCell ref="B151:B155"/>
    <mergeCell ref="C151:C155"/>
    <mergeCell ref="D151:D155"/>
    <mergeCell ref="E151:E155"/>
    <mergeCell ref="F151:F155"/>
    <mergeCell ref="H151:H155"/>
    <mergeCell ref="I151:I155"/>
    <mergeCell ref="J151:J155"/>
    <mergeCell ref="K151:K155"/>
    <mergeCell ref="L151:L155"/>
    <mergeCell ref="M151:M155"/>
    <mergeCell ref="N151:N155"/>
    <mergeCell ref="O151:O155"/>
    <mergeCell ref="P151:P155"/>
    <mergeCell ref="Q151:Q155"/>
    <mergeCell ref="S151:T151"/>
    <mergeCell ref="Y151:Y155"/>
    <mergeCell ref="Z151:Z155"/>
    <mergeCell ref="AA151:AA155"/>
    <mergeCell ref="AB151:AB155"/>
    <mergeCell ref="E146:E150"/>
    <mergeCell ref="F146:F150"/>
    <mergeCell ref="AC151:AC155"/>
    <mergeCell ref="AD151:AD155"/>
    <mergeCell ref="AE151:AE155"/>
    <mergeCell ref="AF151:AF155"/>
    <mergeCell ref="AG151:AG155"/>
    <mergeCell ref="B146:B150"/>
    <mergeCell ref="C146:C150"/>
    <mergeCell ref="D146:D150"/>
    <mergeCell ref="B163:B167"/>
    <mergeCell ref="C163:C167"/>
    <mergeCell ref="D163:D167"/>
    <mergeCell ref="E163:E167"/>
    <mergeCell ref="F163:F167"/>
    <mergeCell ref="G163:G167"/>
    <mergeCell ref="H163:H167"/>
    <mergeCell ref="I163:I167"/>
    <mergeCell ref="J163:J167"/>
    <mergeCell ref="K163:K167"/>
    <mergeCell ref="L163:L167"/>
    <mergeCell ref="M163:M167"/>
    <mergeCell ref="N163:N167"/>
    <mergeCell ref="O163:O167"/>
    <mergeCell ref="P163:P167"/>
    <mergeCell ref="Q163:Q167"/>
    <mergeCell ref="S163:T163"/>
    <mergeCell ref="B156:B160"/>
    <mergeCell ref="C156:C160"/>
    <mergeCell ref="D156:D160"/>
    <mergeCell ref="E156:E160"/>
    <mergeCell ref="F156:F160"/>
    <mergeCell ref="S146:T146"/>
    <mergeCell ref="V146:V150"/>
    <mergeCell ref="AF168:AF172"/>
    <mergeCell ref="AG168:AG172"/>
    <mergeCell ref="B173:B177"/>
    <mergeCell ref="C173:C177"/>
    <mergeCell ref="D173:D177"/>
    <mergeCell ref="E173:E177"/>
    <mergeCell ref="F173:F177"/>
    <mergeCell ref="H173:H177"/>
    <mergeCell ref="I173:I177"/>
    <mergeCell ref="J173:J177"/>
    <mergeCell ref="K173:K177"/>
    <mergeCell ref="L173:L177"/>
    <mergeCell ref="M173:M177"/>
    <mergeCell ref="N173:N177"/>
    <mergeCell ref="O173:O177"/>
    <mergeCell ref="P173:P177"/>
    <mergeCell ref="Q173:Q177"/>
    <mergeCell ref="S173:T173"/>
    <mergeCell ref="V173:V177"/>
    <mergeCell ref="W173:W177"/>
    <mergeCell ref="X173:X177"/>
    <mergeCell ref="Y173:Y177"/>
    <mergeCell ref="Z173:Z177"/>
    <mergeCell ref="AA173:AA177"/>
    <mergeCell ref="AB173:AB177"/>
    <mergeCell ref="AC173:AC177"/>
    <mergeCell ref="AD173:AD177"/>
    <mergeCell ref="AE173:AE177"/>
    <mergeCell ref="AF173:AF177"/>
    <mergeCell ref="AG173:AG177"/>
    <mergeCell ref="S177:T177"/>
    <mergeCell ref="W168:W172"/>
    <mergeCell ref="B178:B182"/>
    <mergeCell ref="C178:C182"/>
    <mergeCell ref="D178:D182"/>
    <mergeCell ref="E178:E182"/>
    <mergeCell ref="F178:F182"/>
    <mergeCell ref="H178:H182"/>
    <mergeCell ref="I178:I182"/>
    <mergeCell ref="J178:J182"/>
    <mergeCell ref="K178:K182"/>
    <mergeCell ref="L178:L182"/>
    <mergeCell ref="M178:M182"/>
    <mergeCell ref="N178:N182"/>
    <mergeCell ref="O178:O182"/>
    <mergeCell ref="P178:P182"/>
    <mergeCell ref="Q178:Q182"/>
    <mergeCell ref="S178:T178"/>
    <mergeCell ref="V178:V182"/>
    <mergeCell ref="W178:W182"/>
    <mergeCell ref="X178:X182"/>
    <mergeCell ref="Y178:Y182"/>
    <mergeCell ref="AA185:AA189"/>
    <mergeCell ref="AB185:AB189"/>
    <mergeCell ref="AC185:AC189"/>
    <mergeCell ref="AD185:AD189"/>
    <mergeCell ref="AE185:AE189"/>
    <mergeCell ref="AF185:AF189"/>
    <mergeCell ref="AG185:AG189"/>
    <mergeCell ref="S189:T189"/>
    <mergeCell ref="B190:B194"/>
    <mergeCell ref="C190:C194"/>
    <mergeCell ref="D190:D194"/>
    <mergeCell ref="E190:E194"/>
    <mergeCell ref="F190:F194"/>
    <mergeCell ref="G190:G194"/>
    <mergeCell ref="H190:H194"/>
    <mergeCell ref="I190:I194"/>
    <mergeCell ref="J190:J194"/>
    <mergeCell ref="K190:K194"/>
    <mergeCell ref="L190:L194"/>
    <mergeCell ref="M190:M194"/>
    <mergeCell ref="N190:N194"/>
    <mergeCell ref="O190:O194"/>
    <mergeCell ref="P190:P194"/>
    <mergeCell ref="Q190:Q194"/>
    <mergeCell ref="S190:T190"/>
    <mergeCell ref="V190:V194"/>
    <mergeCell ref="W190:W194"/>
    <mergeCell ref="X190:X194"/>
    <mergeCell ref="Y190:Y194"/>
    <mergeCell ref="Z190:Z194"/>
    <mergeCell ref="AA190:AA194"/>
    <mergeCell ref="AB190:AB194"/>
    <mergeCell ref="AC190:AC194"/>
    <mergeCell ref="AD190:AD194"/>
    <mergeCell ref="AE190:AE194"/>
    <mergeCell ref="AF190:AF194"/>
    <mergeCell ref="AG190:AG194"/>
    <mergeCell ref="S194:T194"/>
    <mergeCell ref="B195:B199"/>
    <mergeCell ref="C195:C199"/>
    <mergeCell ref="D195:D199"/>
    <mergeCell ref="E195:E199"/>
    <mergeCell ref="F195:F199"/>
    <mergeCell ref="H195:H199"/>
    <mergeCell ref="I195:I199"/>
    <mergeCell ref="J195:J199"/>
    <mergeCell ref="K195:K199"/>
    <mergeCell ref="L195:L199"/>
    <mergeCell ref="M195:M199"/>
    <mergeCell ref="N195:N199"/>
    <mergeCell ref="O195:O199"/>
    <mergeCell ref="P195:P199"/>
    <mergeCell ref="Q195:Q199"/>
    <mergeCell ref="V195:V199"/>
    <mergeCell ref="W195:W199"/>
    <mergeCell ref="X195:X199"/>
    <mergeCell ref="S199:T199"/>
    <mergeCell ref="AD200:AD204"/>
    <mergeCell ref="AE200:AE204"/>
    <mergeCell ref="AF200:AF204"/>
    <mergeCell ref="AG200:AG204"/>
    <mergeCell ref="S204:T204"/>
    <mergeCell ref="B207:B211"/>
    <mergeCell ref="C207:C211"/>
    <mergeCell ref="D207:D211"/>
    <mergeCell ref="E207:E211"/>
    <mergeCell ref="F207:F211"/>
    <mergeCell ref="G207:G211"/>
    <mergeCell ref="H207:H211"/>
    <mergeCell ref="I207:I211"/>
    <mergeCell ref="J207:J211"/>
    <mergeCell ref="K207:K211"/>
    <mergeCell ref="L207:L211"/>
    <mergeCell ref="M207:M211"/>
    <mergeCell ref="N207:N211"/>
    <mergeCell ref="O207:O211"/>
    <mergeCell ref="P207:P211"/>
    <mergeCell ref="Q207:Q211"/>
    <mergeCell ref="V207:V211"/>
    <mergeCell ref="AA207:AA211"/>
    <mergeCell ref="AB207:AB211"/>
    <mergeCell ref="AC207:AC211"/>
    <mergeCell ref="AD207:AD211"/>
    <mergeCell ref="AE207:AE211"/>
    <mergeCell ref="AF207:AF211"/>
    <mergeCell ref="AG207:AG211"/>
    <mergeCell ref="S200:T200"/>
    <mergeCell ref="B200:B204"/>
    <mergeCell ref="C200:C204"/>
    <mergeCell ref="N212:N216"/>
    <mergeCell ref="O212:O216"/>
    <mergeCell ref="P212:P216"/>
    <mergeCell ref="Q212:Q216"/>
    <mergeCell ref="V212:V216"/>
    <mergeCell ref="W212:W216"/>
    <mergeCell ref="X212:X216"/>
    <mergeCell ref="Y212:Y216"/>
    <mergeCell ref="Z212:Z216"/>
    <mergeCell ref="AA212:AA216"/>
    <mergeCell ref="AB212:AB216"/>
    <mergeCell ref="AC212:AC216"/>
    <mergeCell ref="AD212:AD216"/>
    <mergeCell ref="AE212:AE216"/>
    <mergeCell ref="AF212:AF216"/>
    <mergeCell ref="AG212:AG216"/>
    <mergeCell ref="S216:T216"/>
    <mergeCell ref="S221:T221"/>
    <mergeCell ref="B222:B226"/>
    <mergeCell ref="C222:C226"/>
    <mergeCell ref="D222:D226"/>
    <mergeCell ref="E222:E226"/>
    <mergeCell ref="F222:F226"/>
    <mergeCell ref="H222:H226"/>
    <mergeCell ref="I222:I226"/>
    <mergeCell ref="J222:J226"/>
    <mergeCell ref="K222:K226"/>
    <mergeCell ref="L222:L226"/>
    <mergeCell ref="M222:M226"/>
    <mergeCell ref="N222:N226"/>
    <mergeCell ref="O222:O226"/>
    <mergeCell ref="P222:P226"/>
    <mergeCell ref="Q222:Q226"/>
    <mergeCell ref="S222:T222"/>
    <mergeCell ref="B217:B221"/>
    <mergeCell ref="C217:C221"/>
    <mergeCell ref="D217:D221"/>
    <mergeCell ref="E217:E221"/>
    <mergeCell ref="F217:F221"/>
    <mergeCell ref="H217:H221"/>
    <mergeCell ref="I217:I221"/>
    <mergeCell ref="J217:J221"/>
    <mergeCell ref="K217:K221"/>
    <mergeCell ref="L217:L221"/>
    <mergeCell ref="M217:M221"/>
    <mergeCell ref="N217:N221"/>
    <mergeCell ref="O217:O221"/>
    <mergeCell ref="P217:P221"/>
    <mergeCell ref="Q217:Q221"/>
    <mergeCell ref="V222:V226"/>
    <mergeCell ref="W222:W226"/>
    <mergeCell ref="X222:X226"/>
    <mergeCell ref="Y222:Y226"/>
    <mergeCell ref="Z222:Z226"/>
    <mergeCell ref="AA222:AA226"/>
    <mergeCell ref="AB222:AB226"/>
    <mergeCell ref="AC222:AC226"/>
    <mergeCell ref="AD222:AD226"/>
    <mergeCell ref="AE222:AE226"/>
    <mergeCell ref="AF222:AF226"/>
    <mergeCell ref="AG222:AG226"/>
    <mergeCell ref="S226:T226"/>
    <mergeCell ref="B229:B233"/>
    <mergeCell ref="C229:C233"/>
    <mergeCell ref="D229:D233"/>
    <mergeCell ref="E229:E233"/>
    <mergeCell ref="F229:F233"/>
    <mergeCell ref="G229:G233"/>
    <mergeCell ref="H229:H233"/>
    <mergeCell ref="I229:I233"/>
    <mergeCell ref="J229:J233"/>
    <mergeCell ref="K229:K233"/>
    <mergeCell ref="L229:L233"/>
    <mergeCell ref="M229:M233"/>
    <mergeCell ref="N229:N233"/>
    <mergeCell ref="O229:O233"/>
    <mergeCell ref="P229:P233"/>
    <mergeCell ref="Q229:Q233"/>
    <mergeCell ref="S229:T229"/>
    <mergeCell ref="V229:V233"/>
    <mergeCell ref="W229:W233"/>
    <mergeCell ref="B234:B238"/>
    <mergeCell ref="C234:C238"/>
    <mergeCell ref="D234:D238"/>
    <mergeCell ref="E234:E238"/>
    <mergeCell ref="F234:F238"/>
    <mergeCell ref="G234:G238"/>
    <mergeCell ref="H234:H238"/>
    <mergeCell ref="I234:I238"/>
    <mergeCell ref="J234:J238"/>
    <mergeCell ref="K234:K238"/>
    <mergeCell ref="L234:L238"/>
    <mergeCell ref="M234:M238"/>
    <mergeCell ref="N234:N238"/>
    <mergeCell ref="O234:O238"/>
    <mergeCell ref="P234:P238"/>
    <mergeCell ref="Q234:Q238"/>
    <mergeCell ref="S234:T234"/>
    <mergeCell ref="AD234:AD238"/>
    <mergeCell ref="AE234:AE238"/>
    <mergeCell ref="AF234:AF238"/>
    <mergeCell ref="AG234:AG238"/>
    <mergeCell ref="S238:T238"/>
    <mergeCell ref="B239:B243"/>
    <mergeCell ref="C239:C243"/>
    <mergeCell ref="D239:D243"/>
    <mergeCell ref="E239:E243"/>
    <mergeCell ref="F239:F243"/>
    <mergeCell ref="H239:H243"/>
    <mergeCell ref="I239:I243"/>
    <mergeCell ref="J239:J243"/>
    <mergeCell ref="K239:K243"/>
    <mergeCell ref="L239:L243"/>
    <mergeCell ref="M239:M243"/>
    <mergeCell ref="N239:N243"/>
    <mergeCell ref="O239:O243"/>
    <mergeCell ref="P239:P243"/>
    <mergeCell ref="Q239:Q243"/>
    <mergeCell ref="S239:T239"/>
    <mergeCell ref="V239:V243"/>
    <mergeCell ref="W239:W243"/>
    <mergeCell ref="X239:X243"/>
    <mergeCell ref="Y239:Y243"/>
    <mergeCell ref="Z239:Z243"/>
    <mergeCell ref="AA239:AA243"/>
    <mergeCell ref="AB239:AB243"/>
    <mergeCell ref="AC239:AC243"/>
    <mergeCell ref="AD239:AD243"/>
    <mergeCell ref="AE239:AE243"/>
    <mergeCell ref="AF239:AF243"/>
    <mergeCell ref="AG239:AG243"/>
    <mergeCell ref="B244:B248"/>
    <mergeCell ref="C244:C248"/>
    <mergeCell ref="D244:D248"/>
    <mergeCell ref="E244:E248"/>
    <mergeCell ref="F244:F248"/>
    <mergeCell ref="H244:H248"/>
    <mergeCell ref="I244:I248"/>
    <mergeCell ref="J244:J248"/>
    <mergeCell ref="K244:K248"/>
    <mergeCell ref="L244:L248"/>
    <mergeCell ref="M244:M248"/>
    <mergeCell ref="N244:N248"/>
    <mergeCell ref="O244:O248"/>
    <mergeCell ref="P244:P248"/>
    <mergeCell ref="Q244:Q248"/>
    <mergeCell ref="S244:T244"/>
    <mergeCell ref="V244:V248"/>
    <mergeCell ref="W244:W248"/>
    <mergeCell ref="X244:X248"/>
    <mergeCell ref="Y244:Y248"/>
    <mergeCell ref="Z244:Z248"/>
    <mergeCell ref="AA244:AA248"/>
    <mergeCell ref="AB244:AB248"/>
    <mergeCell ref="AC244:AC248"/>
    <mergeCell ref="AD244:AD248"/>
    <mergeCell ref="AA251:AA255"/>
    <mergeCell ref="AB251:AB255"/>
    <mergeCell ref="AC251:AC255"/>
    <mergeCell ref="AD251:AD255"/>
    <mergeCell ref="AE251:AE255"/>
    <mergeCell ref="AF251:AF255"/>
    <mergeCell ref="AG251:AG255"/>
    <mergeCell ref="S255:T255"/>
    <mergeCell ref="B256:B260"/>
    <mergeCell ref="C256:C260"/>
    <mergeCell ref="D256:D260"/>
    <mergeCell ref="E256:E260"/>
    <mergeCell ref="F256:F260"/>
    <mergeCell ref="G256:G260"/>
    <mergeCell ref="H256:H260"/>
    <mergeCell ref="I256:I260"/>
    <mergeCell ref="J256:J260"/>
    <mergeCell ref="K256:K260"/>
    <mergeCell ref="L256:L260"/>
    <mergeCell ref="M256:M260"/>
    <mergeCell ref="N256:N260"/>
    <mergeCell ref="O256:O260"/>
    <mergeCell ref="P256:P260"/>
    <mergeCell ref="Q256:Q260"/>
    <mergeCell ref="S256:T256"/>
    <mergeCell ref="V256:V260"/>
    <mergeCell ref="W256:W260"/>
    <mergeCell ref="X256:X260"/>
    <mergeCell ref="Y256:Y260"/>
    <mergeCell ref="Z256:Z260"/>
    <mergeCell ref="AA256:AA260"/>
    <mergeCell ref="AB256:AB260"/>
    <mergeCell ref="AC256:AC260"/>
    <mergeCell ref="AD256:AD260"/>
    <mergeCell ref="AE256:AE260"/>
    <mergeCell ref="AF256:AF260"/>
    <mergeCell ref="AG256:AG260"/>
    <mergeCell ref="S260:T260"/>
    <mergeCell ref="B273:B277"/>
    <mergeCell ref="C273:C277"/>
    <mergeCell ref="D273:D277"/>
    <mergeCell ref="E273:E277"/>
    <mergeCell ref="F273:F277"/>
    <mergeCell ref="G273:G277"/>
    <mergeCell ref="H273:H277"/>
    <mergeCell ref="I273:I277"/>
    <mergeCell ref="J273:J277"/>
    <mergeCell ref="K273:K277"/>
    <mergeCell ref="L273:L277"/>
    <mergeCell ref="M273:M277"/>
    <mergeCell ref="N273:N277"/>
    <mergeCell ref="O273:O277"/>
    <mergeCell ref="P273:P277"/>
    <mergeCell ref="Q273:Q277"/>
    <mergeCell ref="S273:T273"/>
    <mergeCell ref="V273:V277"/>
    <mergeCell ref="W273:W277"/>
    <mergeCell ref="X273:X277"/>
    <mergeCell ref="Y273:Y277"/>
    <mergeCell ref="Z273:Z277"/>
    <mergeCell ref="AA273:AA277"/>
    <mergeCell ref="AB273:AB277"/>
    <mergeCell ref="AC273:AC277"/>
    <mergeCell ref="AD273:AD277"/>
    <mergeCell ref="AE273:AE277"/>
    <mergeCell ref="AF273:AF277"/>
    <mergeCell ref="AG273:AG277"/>
    <mergeCell ref="S277:T277"/>
    <mergeCell ref="G278:G282"/>
    <mergeCell ref="B288:B292"/>
    <mergeCell ref="C288:C292"/>
    <mergeCell ref="D288:D292"/>
    <mergeCell ref="E288:E292"/>
    <mergeCell ref="F288:F292"/>
    <mergeCell ref="H288:H292"/>
    <mergeCell ref="I288:I292"/>
    <mergeCell ref="J288:J292"/>
    <mergeCell ref="K288:K292"/>
    <mergeCell ref="L288:L292"/>
    <mergeCell ref="M288:M292"/>
    <mergeCell ref="N288:N292"/>
    <mergeCell ref="O288:O292"/>
    <mergeCell ref="P288:P292"/>
    <mergeCell ref="Q288:Q292"/>
    <mergeCell ref="S288:T288"/>
    <mergeCell ref="V288:V292"/>
    <mergeCell ref="W288:W292"/>
    <mergeCell ref="X288:X292"/>
    <mergeCell ref="Y288:Y292"/>
    <mergeCell ref="Z288:Z292"/>
    <mergeCell ref="AA288:AA292"/>
    <mergeCell ref="AB288:AB292"/>
    <mergeCell ref="AC288:AC292"/>
    <mergeCell ref="AD288:AD292"/>
    <mergeCell ref="AE288:AE292"/>
    <mergeCell ref="AF288:AF292"/>
    <mergeCell ref="AG288:AG292"/>
    <mergeCell ref="S292:T292"/>
    <mergeCell ref="G295:G299"/>
    <mergeCell ref="B300:B304"/>
    <mergeCell ref="C300:C304"/>
    <mergeCell ref="D300:D304"/>
    <mergeCell ref="E300:E304"/>
    <mergeCell ref="F300:F304"/>
    <mergeCell ref="G300:G304"/>
    <mergeCell ref="H300:H304"/>
    <mergeCell ref="I300:I304"/>
    <mergeCell ref="J300:J304"/>
    <mergeCell ref="K300:K304"/>
    <mergeCell ref="L300:L304"/>
    <mergeCell ref="M300:M304"/>
    <mergeCell ref="N300:N304"/>
    <mergeCell ref="O300:O304"/>
    <mergeCell ref="P300:P304"/>
    <mergeCell ref="Q300:Q304"/>
    <mergeCell ref="S300:T300"/>
    <mergeCell ref="V300:V304"/>
    <mergeCell ref="W300:W304"/>
    <mergeCell ref="X300:X304"/>
    <mergeCell ref="Y300:Y304"/>
    <mergeCell ref="Z300:Z304"/>
    <mergeCell ref="AA300:AA304"/>
    <mergeCell ref="AB300:AB304"/>
    <mergeCell ref="AC300:AC304"/>
    <mergeCell ref="AD300:AD304"/>
    <mergeCell ref="AE300:AE304"/>
    <mergeCell ref="AF300:AF304"/>
    <mergeCell ref="AG300:AG304"/>
    <mergeCell ref="AC305:AC309"/>
    <mergeCell ref="AD305:AD309"/>
    <mergeCell ref="AE305:AE309"/>
    <mergeCell ref="AF305:AF309"/>
    <mergeCell ref="AG305:AG309"/>
    <mergeCell ref="S309:T309"/>
    <mergeCell ref="B310:B314"/>
    <mergeCell ref="C310:C314"/>
    <mergeCell ref="D310:D314"/>
    <mergeCell ref="E310:E314"/>
    <mergeCell ref="F310:F314"/>
    <mergeCell ref="H310:H314"/>
    <mergeCell ref="I310:I314"/>
    <mergeCell ref="J310:J314"/>
    <mergeCell ref="K310:K314"/>
    <mergeCell ref="L310:L314"/>
    <mergeCell ref="M310:M314"/>
    <mergeCell ref="N310:N314"/>
    <mergeCell ref="O310:O314"/>
    <mergeCell ref="P310:P314"/>
    <mergeCell ref="Q310:Q314"/>
    <mergeCell ref="S310:T310"/>
    <mergeCell ref="V310:V314"/>
    <mergeCell ref="AG310:AG314"/>
    <mergeCell ref="S314:T314"/>
    <mergeCell ref="G339:G343"/>
    <mergeCell ref="G344:G348"/>
    <mergeCell ref="B349:B353"/>
    <mergeCell ref="C349:C353"/>
    <mergeCell ref="D349:D353"/>
    <mergeCell ref="E349:E353"/>
    <mergeCell ref="F349:F353"/>
    <mergeCell ref="H349:H353"/>
    <mergeCell ref="I349:I353"/>
    <mergeCell ref="J349:J353"/>
    <mergeCell ref="K349:K353"/>
    <mergeCell ref="L349:L353"/>
    <mergeCell ref="M349:M353"/>
    <mergeCell ref="N349:N353"/>
    <mergeCell ref="O349:O353"/>
    <mergeCell ref="P349:P353"/>
    <mergeCell ref="Q349:Q353"/>
    <mergeCell ref="I344:I348"/>
    <mergeCell ref="J344:J348"/>
    <mergeCell ref="K344:K348"/>
    <mergeCell ref="L344:L348"/>
    <mergeCell ref="M344:M348"/>
    <mergeCell ref="N344:N348"/>
    <mergeCell ref="B344:B348"/>
    <mergeCell ref="C344:C348"/>
    <mergeCell ref="D344:D348"/>
    <mergeCell ref="E344:E348"/>
    <mergeCell ref="F344:F348"/>
    <mergeCell ref="H344:H348"/>
    <mergeCell ref="B339:B343"/>
    <mergeCell ref="C339:C343"/>
    <mergeCell ref="D339:D343"/>
    <mergeCell ref="AD354:AD358"/>
    <mergeCell ref="AE354:AE358"/>
    <mergeCell ref="AF354:AF358"/>
    <mergeCell ref="AG354:AG358"/>
    <mergeCell ref="S358:T358"/>
    <mergeCell ref="B361:B365"/>
    <mergeCell ref="C361:C365"/>
    <mergeCell ref="D361:D365"/>
    <mergeCell ref="E361:E365"/>
    <mergeCell ref="F361:F365"/>
    <mergeCell ref="G361:G365"/>
    <mergeCell ref="H361:H365"/>
    <mergeCell ref="I361:I365"/>
    <mergeCell ref="J361:J365"/>
    <mergeCell ref="K361:K365"/>
    <mergeCell ref="L361:L365"/>
    <mergeCell ref="M361:M365"/>
    <mergeCell ref="N361:N365"/>
    <mergeCell ref="O361:O365"/>
    <mergeCell ref="P361:P365"/>
    <mergeCell ref="Q361:Q365"/>
    <mergeCell ref="S361:T361"/>
    <mergeCell ref="V361:V365"/>
    <mergeCell ref="W361:W365"/>
    <mergeCell ref="X361:X365"/>
    <mergeCell ref="Y361:Y365"/>
    <mergeCell ref="Z361:Z365"/>
    <mergeCell ref="X354:X358"/>
    <mergeCell ref="Y354:Y358"/>
    <mergeCell ref="Z354:Z358"/>
    <mergeCell ref="AA354:AA358"/>
    <mergeCell ref="AB354:AB358"/>
    <mergeCell ref="AG366:AG370"/>
    <mergeCell ref="S370:T370"/>
    <mergeCell ref="B371:B375"/>
    <mergeCell ref="C371:C375"/>
    <mergeCell ref="D371:D375"/>
    <mergeCell ref="E371:E375"/>
    <mergeCell ref="F371:F375"/>
    <mergeCell ref="H371:H375"/>
    <mergeCell ref="I371:I375"/>
    <mergeCell ref="J371:J375"/>
    <mergeCell ref="K371:K375"/>
    <mergeCell ref="L371:L375"/>
    <mergeCell ref="M371:M375"/>
    <mergeCell ref="N371:N375"/>
    <mergeCell ref="O371:O375"/>
    <mergeCell ref="P371:P375"/>
    <mergeCell ref="Q371:Q375"/>
    <mergeCell ref="S371:T371"/>
    <mergeCell ref="Y371:Y375"/>
    <mergeCell ref="Z371:Z375"/>
    <mergeCell ref="AA371:AA375"/>
    <mergeCell ref="AB371:AB375"/>
    <mergeCell ref="AC371:AC375"/>
    <mergeCell ref="AD371:AD375"/>
    <mergeCell ref="AE371:AE375"/>
    <mergeCell ref="AF371:AF375"/>
    <mergeCell ref="AG371:AG375"/>
    <mergeCell ref="B366:B370"/>
    <mergeCell ref="C366:C370"/>
    <mergeCell ref="D366:D370"/>
    <mergeCell ref="E366:E370"/>
    <mergeCell ref="F366:F370"/>
    <mergeCell ref="Y376:Y380"/>
    <mergeCell ref="Z376:Z380"/>
    <mergeCell ref="AA376:AA380"/>
    <mergeCell ref="AB376:AB380"/>
    <mergeCell ref="AC376:AC380"/>
    <mergeCell ref="AD376:AD380"/>
    <mergeCell ref="AE376:AE380"/>
    <mergeCell ref="AF376:AF380"/>
    <mergeCell ref="AG376:AG380"/>
    <mergeCell ref="B383:B387"/>
    <mergeCell ref="C383:C387"/>
    <mergeCell ref="D383:D387"/>
    <mergeCell ref="E383:E387"/>
    <mergeCell ref="F383:F387"/>
    <mergeCell ref="G383:G387"/>
    <mergeCell ref="H383:H387"/>
    <mergeCell ref="I383:I387"/>
    <mergeCell ref="J383:J387"/>
    <mergeCell ref="K383:K387"/>
    <mergeCell ref="L383:L387"/>
    <mergeCell ref="M383:M387"/>
    <mergeCell ref="N383:N387"/>
    <mergeCell ref="O383:O387"/>
    <mergeCell ref="P383:P387"/>
    <mergeCell ref="Q383:Q387"/>
    <mergeCell ref="S383:T383"/>
    <mergeCell ref="V383:V387"/>
    <mergeCell ref="S380:T380"/>
    <mergeCell ref="B376:B380"/>
    <mergeCell ref="C376:C380"/>
    <mergeCell ref="D376:D380"/>
    <mergeCell ref="E376:E380"/>
    <mergeCell ref="B393:B397"/>
    <mergeCell ref="C393:C397"/>
    <mergeCell ref="D393:D397"/>
    <mergeCell ref="E393:E397"/>
    <mergeCell ref="F393:F397"/>
    <mergeCell ref="H393:H397"/>
    <mergeCell ref="I393:I397"/>
    <mergeCell ref="J393:J397"/>
    <mergeCell ref="K393:K397"/>
    <mergeCell ref="L393:L397"/>
    <mergeCell ref="M393:M397"/>
    <mergeCell ref="N393:N397"/>
    <mergeCell ref="O393:O397"/>
    <mergeCell ref="P393:P397"/>
    <mergeCell ref="Q393:Q397"/>
    <mergeCell ref="S393:T393"/>
    <mergeCell ref="V393:V397"/>
    <mergeCell ref="W393:W397"/>
    <mergeCell ref="X393:X397"/>
    <mergeCell ref="Y393:Y397"/>
    <mergeCell ref="Z393:Z397"/>
    <mergeCell ref="AA393:AA397"/>
    <mergeCell ref="AB393:AB397"/>
    <mergeCell ref="AC393:AC397"/>
    <mergeCell ref="AD393:AD397"/>
    <mergeCell ref="AE393:AE397"/>
    <mergeCell ref="AF393:AF397"/>
    <mergeCell ref="AG393:AG397"/>
    <mergeCell ref="S397:T397"/>
    <mergeCell ref="B398:B402"/>
    <mergeCell ref="C398:C402"/>
    <mergeCell ref="D398:D402"/>
    <mergeCell ref="E398:E402"/>
    <mergeCell ref="F398:F402"/>
    <mergeCell ref="H398:H402"/>
    <mergeCell ref="I398:I402"/>
    <mergeCell ref="J398:J402"/>
    <mergeCell ref="K398:K402"/>
    <mergeCell ref="L398:L402"/>
    <mergeCell ref="M398:M402"/>
    <mergeCell ref="N398:N402"/>
    <mergeCell ref="O398:O402"/>
    <mergeCell ref="P398:P402"/>
    <mergeCell ref="Q398:Q402"/>
    <mergeCell ref="S398:T398"/>
    <mergeCell ref="V398:V402"/>
    <mergeCell ref="W398:W402"/>
    <mergeCell ref="X398:X402"/>
    <mergeCell ref="Y398:Y402"/>
    <mergeCell ref="AA405:AA409"/>
    <mergeCell ref="AB405:AB409"/>
    <mergeCell ref="AC405:AC409"/>
    <mergeCell ref="AD405:AD409"/>
    <mergeCell ref="AE405:AE409"/>
    <mergeCell ref="AF405:AF409"/>
    <mergeCell ref="AG405:AG409"/>
    <mergeCell ref="S409:T409"/>
    <mergeCell ref="B410:B414"/>
    <mergeCell ref="C410:C414"/>
    <mergeCell ref="D410:D414"/>
    <mergeCell ref="E410:E414"/>
    <mergeCell ref="F410:F414"/>
    <mergeCell ref="G410:G414"/>
    <mergeCell ref="H410:H414"/>
    <mergeCell ref="I410:I414"/>
    <mergeCell ref="J410:J414"/>
    <mergeCell ref="K410:K414"/>
    <mergeCell ref="L410:L414"/>
    <mergeCell ref="M410:M414"/>
    <mergeCell ref="N410:N414"/>
    <mergeCell ref="O410:O414"/>
    <mergeCell ref="P410:P414"/>
    <mergeCell ref="Q410:Q414"/>
    <mergeCell ref="S410:T410"/>
    <mergeCell ref="V410:V414"/>
    <mergeCell ref="W410:W414"/>
    <mergeCell ref="X410:X414"/>
    <mergeCell ref="Y410:Y414"/>
    <mergeCell ref="Z410:Z414"/>
    <mergeCell ref="AA410:AA414"/>
    <mergeCell ref="AB410:AB414"/>
    <mergeCell ref="AC410:AC414"/>
    <mergeCell ref="AD410:AD414"/>
    <mergeCell ref="AE410:AE414"/>
    <mergeCell ref="AF410:AF414"/>
    <mergeCell ref="AG410:AG414"/>
    <mergeCell ref="S414:T414"/>
    <mergeCell ref="B415:B419"/>
    <mergeCell ref="C415:C419"/>
    <mergeCell ref="D415:D419"/>
    <mergeCell ref="E415:E419"/>
    <mergeCell ref="F415:F419"/>
    <mergeCell ref="H415:H419"/>
    <mergeCell ref="I415:I419"/>
    <mergeCell ref="J415:J419"/>
    <mergeCell ref="K415:K419"/>
    <mergeCell ref="L415:L419"/>
    <mergeCell ref="M415:M419"/>
    <mergeCell ref="N415:N419"/>
    <mergeCell ref="O415:O419"/>
    <mergeCell ref="P415:P419"/>
    <mergeCell ref="Q415:Q419"/>
    <mergeCell ref="V415:V419"/>
    <mergeCell ref="W415:W419"/>
    <mergeCell ref="X415:X419"/>
    <mergeCell ref="S415:T415"/>
    <mergeCell ref="AF415:AF419"/>
    <mergeCell ref="AG415:AG419"/>
    <mergeCell ref="AA420:AA424"/>
    <mergeCell ref="AB420:AB424"/>
    <mergeCell ref="AC420:AC424"/>
    <mergeCell ref="AD420:AD424"/>
    <mergeCell ref="AE420:AE424"/>
    <mergeCell ref="AF420:AF424"/>
    <mergeCell ref="AG420:AG424"/>
    <mergeCell ref="S424:T424"/>
    <mergeCell ref="B427:B431"/>
    <mergeCell ref="C427:C431"/>
    <mergeCell ref="D427:D431"/>
    <mergeCell ref="E427:E431"/>
    <mergeCell ref="F427:F431"/>
    <mergeCell ref="G427:G431"/>
    <mergeCell ref="H427:H431"/>
    <mergeCell ref="I427:I431"/>
    <mergeCell ref="J427:J431"/>
    <mergeCell ref="K427:K431"/>
    <mergeCell ref="L427:L431"/>
    <mergeCell ref="M427:M431"/>
    <mergeCell ref="N427:N431"/>
    <mergeCell ref="O427:O431"/>
    <mergeCell ref="P427:P431"/>
    <mergeCell ref="Q427:Q431"/>
    <mergeCell ref="V427:V431"/>
    <mergeCell ref="Z427:Z431"/>
    <mergeCell ref="AA427:AA431"/>
    <mergeCell ref="AB427:AB431"/>
    <mergeCell ref="AC427:AC431"/>
    <mergeCell ref="AD427:AD431"/>
    <mergeCell ref="AE427:AE431"/>
    <mergeCell ref="AF427:AF431"/>
    <mergeCell ref="AA432:AA436"/>
    <mergeCell ref="AB432:AB436"/>
    <mergeCell ref="AC432:AC436"/>
    <mergeCell ref="AD432:AD436"/>
    <mergeCell ref="AE432:AE436"/>
    <mergeCell ref="AF432:AF436"/>
    <mergeCell ref="AG432:AG436"/>
    <mergeCell ref="S436:T436"/>
    <mergeCell ref="S432:T432"/>
    <mergeCell ref="Q437:Q441"/>
    <mergeCell ref="S437:T437"/>
    <mergeCell ref="V437:V441"/>
    <mergeCell ref="W437:W441"/>
    <mergeCell ref="X437:X441"/>
    <mergeCell ref="Y437:Y441"/>
    <mergeCell ref="Z437:Z441"/>
    <mergeCell ref="AA437:AA441"/>
    <mergeCell ref="AB437:AB441"/>
    <mergeCell ref="AC437:AC441"/>
    <mergeCell ref="AD437:AD441"/>
    <mergeCell ref="AE437:AE441"/>
    <mergeCell ref="AF437:AF441"/>
    <mergeCell ref="AG437:AG441"/>
    <mergeCell ref="S441:T441"/>
    <mergeCell ref="W442:W446"/>
    <mergeCell ref="X442:X446"/>
    <mergeCell ref="Y442:Y446"/>
    <mergeCell ref="Z442:Z446"/>
    <mergeCell ref="AA442:AA446"/>
    <mergeCell ref="AB442:AB446"/>
    <mergeCell ref="AC442:AC446"/>
    <mergeCell ref="AD442:AD446"/>
    <mergeCell ref="AE442:AE446"/>
    <mergeCell ref="AF442:AF446"/>
    <mergeCell ref="AG442:AG446"/>
    <mergeCell ref="S446:T446"/>
    <mergeCell ref="B449:B453"/>
    <mergeCell ref="C449:C453"/>
    <mergeCell ref="D449:D453"/>
    <mergeCell ref="E449:E453"/>
    <mergeCell ref="F449:F453"/>
    <mergeCell ref="G449:G453"/>
    <mergeCell ref="H449:H453"/>
    <mergeCell ref="I449:I453"/>
    <mergeCell ref="J449:J453"/>
    <mergeCell ref="K449:K453"/>
    <mergeCell ref="L449:L453"/>
    <mergeCell ref="M449:M453"/>
    <mergeCell ref="N449:N453"/>
    <mergeCell ref="O449:O453"/>
    <mergeCell ref="P449:P453"/>
    <mergeCell ref="Q449:Q453"/>
    <mergeCell ref="S449:T449"/>
    <mergeCell ref="V449:V453"/>
    <mergeCell ref="W449:W453"/>
    <mergeCell ref="X449:X453"/>
    <mergeCell ref="V454:V458"/>
    <mergeCell ref="W454:W458"/>
    <mergeCell ref="X454:X458"/>
    <mergeCell ref="Y454:Y458"/>
    <mergeCell ref="Z454:Z458"/>
    <mergeCell ref="AA454:AA458"/>
    <mergeCell ref="AB454:AB458"/>
    <mergeCell ref="AC454:AC458"/>
    <mergeCell ref="AD454:AD458"/>
    <mergeCell ref="AE454:AE458"/>
    <mergeCell ref="AF454:AF458"/>
    <mergeCell ref="AG454:AG458"/>
    <mergeCell ref="S458:T458"/>
    <mergeCell ref="G471:G475"/>
    <mergeCell ref="B476:B480"/>
    <mergeCell ref="C476:C480"/>
    <mergeCell ref="D476:D480"/>
    <mergeCell ref="E476:E480"/>
    <mergeCell ref="F476:F480"/>
    <mergeCell ref="G476:G480"/>
    <mergeCell ref="H476:H480"/>
    <mergeCell ref="I476:I480"/>
    <mergeCell ref="J476:J480"/>
    <mergeCell ref="K476:K480"/>
    <mergeCell ref="L476:L480"/>
    <mergeCell ref="M476:M480"/>
    <mergeCell ref="N476:N480"/>
    <mergeCell ref="O476:O480"/>
    <mergeCell ref="P476:P480"/>
    <mergeCell ref="Q476:Q480"/>
    <mergeCell ref="N471:N475"/>
    <mergeCell ref="O471:O475"/>
    <mergeCell ref="P471:P475"/>
    <mergeCell ref="Q471:Q475"/>
    <mergeCell ref="B471:B475"/>
    <mergeCell ref="C471:C475"/>
    <mergeCell ref="D471:D475"/>
    <mergeCell ref="E471:E475"/>
    <mergeCell ref="F471:F475"/>
    <mergeCell ref="H471:H475"/>
    <mergeCell ref="I471:I475"/>
    <mergeCell ref="J471:J475"/>
    <mergeCell ref="K471:K475"/>
    <mergeCell ref="AB476:AB480"/>
    <mergeCell ref="AC476:AC480"/>
    <mergeCell ref="AD476:AD480"/>
    <mergeCell ref="AE476:AE480"/>
    <mergeCell ref="AF476:AF480"/>
    <mergeCell ref="AG476:AG480"/>
    <mergeCell ref="S480:T480"/>
    <mergeCell ref="S476:T476"/>
    <mergeCell ref="V476:V480"/>
    <mergeCell ref="W476:W480"/>
    <mergeCell ref="X476:X480"/>
    <mergeCell ref="Y476:Y480"/>
    <mergeCell ref="Z476:Z480"/>
    <mergeCell ref="AA476:AA480"/>
    <mergeCell ref="B481:B485"/>
    <mergeCell ref="C481:C485"/>
    <mergeCell ref="D481:D485"/>
    <mergeCell ref="E481:E485"/>
    <mergeCell ref="F481:F485"/>
    <mergeCell ref="H481:H485"/>
    <mergeCell ref="I481:I485"/>
    <mergeCell ref="J481:J485"/>
    <mergeCell ref="K481:K485"/>
    <mergeCell ref="L481:L485"/>
    <mergeCell ref="M481:M485"/>
    <mergeCell ref="N481:N485"/>
    <mergeCell ref="O481:O485"/>
    <mergeCell ref="P481:P485"/>
    <mergeCell ref="Q481:Q485"/>
    <mergeCell ref="S481:T481"/>
    <mergeCell ref="V481:V485"/>
    <mergeCell ref="W481:W485"/>
    <mergeCell ref="X481:X485"/>
    <mergeCell ref="Y481:Y485"/>
    <mergeCell ref="Z481:Z485"/>
    <mergeCell ref="AA481:AA485"/>
    <mergeCell ref="AB481:AB485"/>
    <mergeCell ref="AC481:AC485"/>
    <mergeCell ref="AD481:AD485"/>
    <mergeCell ref="AE481:AE485"/>
    <mergeCell ref="AF481:AF485"/>
    <mergeCell ref="AG481:AG485"/>
    <mergeCell ref="S485:T485"/>
    <mergeCell ref="B486:B490"/>
    <mergeCell ref="C486:C490"/>
    <mergeCell ref="D486:D490"/>
    <mergeCell ref="E486:E490"/>
    <mergeCell ref="F486:F490"/>
    <mergeCell ref="H486:H490"/>
    <mergeCell ref="I486:I490"/>
    <mergeCell ref="J486:J490"/>
    <mergeCell ref="K486:K490"/>
    <mergeCell ref="L486:L490"/>
    <mergeCell ref="M486:M490"/>
    <mergeCell ref="N486:N490"/>
    <mergeCell ref="O486:O490"/>
    <mergeCell ref="P486:P490"/>
    <mergeCell ref="Q486:Q490"/>
    <mergeCell ref="S486:T486"/>
    <mergeCell ref="V486:V490"/>
    <mergeCell ref="W486:W490"/>
    <mergeCell ref="X486:X490"/>
    <mergeCell ref="Y486:Y490"/>
    <mergeCell ref="Z486:Z490"/>
    <mergeCell ref="AA486:AA490"/>
    <mergeCell ref="AB486:AB490"/>
    <mergeCell ref="AC486:AC490"/>
    <mergeCell ref="AD486:AD490"/>
    <mergeCell ref="AE486:AE490"/>
    <mergeCell ref="AF486:AF490"/>
    <mergeCell ref="AG486:AG490"/>
    <mergeCell ref="S490:T490"/>
    <mergeCell ref="B493:B497"/>
    <mergeCell ref="C493:C497"/>
    <mergeCell ref="D493:D497"/>
    <mergeCell ref="E493:E497"/>
    <mergeCell ref="F493:F497"/>
    <mergeCell ref="G493:G497"/>
    <mergeCell ref="H493:H497"/>
    <mergeCell ref="I493:I497"/>
    <mergeCell ref="J493:J497"/>
    <mergeCell ref="K493:K497"/>
    <mergeCell ref="L493:L497"/>
    <mergeCell ref="M493:M497"/>
    <mergeCell ref="N493:N497"/>
    <mergeCell ref="O493:O497"/>
    <mergeCell ref="P493:P497"/>
    <mergeCell ref="Q493:Q497"/>
    <mergeCell ref="S493:T493"/>
    <mergeCell ref="V493:V497"/>
    <mergeCell ref="W493:W497"/>
    <mergeCell ref="X493:X497"/>
    <mergeCell ref="Y493:Y497"/>
    <mergeCell ref="Z493:Z497"/>
    <mergeCell ref="AA493:AA497"/>
    <mergeCell ref="AB493:AB497"/>
    <mergeCell ref="AC493:AC497"/>
    <mergeCell ref="AD493:AD497"/>
    <mergeCell ref="AE493:AE497"/>
    <mergeCell ref="AF493:AF497"/>
    <mergeCell ref="AG493:AG497"/>
    <mergeCell ref="S497:T497"/>
    <mergeCell ref="B498:B502"/>
    <mergeCell ref="C498:C502"/>
    <mergeCell ref="D498:D502"/>
    <mergeCell ref="E498:E502"/>
    <mergeCell ref="F498:F502"/>
    <mergeCell ref="G498:G502"/>
    <mergeCell ref="H498:H502"/>
    <mergeCell ref="I498:I502"/>
    <mergeCell ref="J498:J502"/>
    <mergeCell ref="K498:K502"/>
    <mergeCell ref="L498:L502"/>
    <mergeCell ref="M498:M502"/>
    <mergeCell ref="N498:N502"/>
    <mergeCell ref="O498:O502"/>
    <mergeCell ref="P498:P502"/>
    <mergeCell ref="Q498:Q502"/>
    <mergeCell ref="S498:T498"/>
    <mergeCell ref="V498:V502"/>
    <mergeCell ref="W498:W502"/>
    <mergeCell ref="X498:X502"/>
    <mergeCell ref="Y498:Y502"/>
    <mergeCell ref="Z498:Z502"/>
    <mergeCell ref="AA498:AA502"/>
    <mergeCell ref="AB498:AB502"/>
    <mergeCell ref="AC498:AC502"/>
    <mergeCell ref="AD498:AD502"/>
    <mergeCell ref="AE498:AE502"/>
    <mergeCell ref="AF498:AF502"/>
    <mergeCell ref="AG498:AG502"/>
    <mergeCell ref="S502:T502"/>
    <mergeCell ref="B503:B507"/>
    <mergeCell ref="C503:C507"/>
    <mergeCell ref="D503:D507"/>
    <mergeCell ref="E503:E507"/>
    <mergeCell ref="F503:F507"/>
    <mergeCell ref="H503:H507"/>
    <mergeCell ref="I503:I507"/>
    <mergeCell ref="J503:J507"/>
    <mergeCell ref="K503:K507"/>
    <mergeCell ref="L503:L507"/>
    <mergeCell ref="M503:M507"/>
    <mergeCell ref="N503:N507"/>
    <mergeCell ref="O503:O507"/>
    <mergeCell ref="P503:P507"/>
    <mergeCell ref="Q503:Q507"/>
    <mergeCell ref="S503:T503"/>
    <mergeCell ref="V503:V507"/>
    <mergeCell ref="W503:W507"/>
    <mergeCell ref="X503:X507"/>
    <mergeCell ref="Y503:Y507"/>
    <mergeCell ref="Z503:Z507"/>
    <mergeCell ref="AA503:AA507"/>
    <mergeCell ref="AB503:AB507"/>
    <mergeCell ref="AC503:AC507"/>
    <mergeCell ref="AD503:AD507"/>
    <mergeCell ref="AE503:AE507"/>
    <mergeCell ref="AF503:AF507"/>
    <mergeCell ref="AG503:AG507"/>
    <mergeCell ref="S507:T507"/>
    <mergeCell ref="B508:B512"/>
    <mergeCell ref="C508:C512"/>
    <mergeCell ref="D508:D512"/>
    <mergeCell ref="E508:E512"/>
    <mergeCell ref="F508:F512"/>
    <mergeCell ref="H508:H512"/>
    <mergeCell ref="I508:I512"/>
    <mergeCell ref="J508:J512"/>
    <mergeCell ref="K508:K512"/>
    <mergeCell ref="L508:L512"/>
    <mergeCell ref="M508:M512"/>
    <mergeCell ref="N508:N512"/>
    <mergeCell ref="O508:O512"/>
    <mergeCell ref="P508:P512"/>
    <mergeCell ref="Q508:Q512"/>
    <mergeCell ref="S508:T508"/>
    <mergeCell ref="V508:V512"/>
    <mergeCell ref="W508:W512"/>
    <mergeCell ref="X508:X512"/>
    <mergeCell ref="Y508:Y512"/>
    <mergeCell ref="Z508:Z512"/>
    <mergeCell ref="AA508:AA512"/>
    <mergeCell ref="AB508:AB512"/>
    <mergeCell ref="AC508:AC512"/>
    <mergeCell ref="AD508:AD512"/>
    <mergeCell ref="AE508:AE512"/>
    <mergeCell ref="AF508:AF512"/>
    <mergeCell ref="AG508:AG512"/>
    <mergeCell ref="S512:T512"/>
    <mergeCell ref="B515:B519"/>
    <mergeCell ref="C515:C519"/>
    <mergeCell ref="D515:D519"/>
    <mergeCell ref="E515:E519"/>
    <mergeCell ref="F515:F519"/>
    <mergeCell ref="G515:G519"/>
    <mergeCell ref="H515:H519"/>
    <mergeCell ref="I515:I519"/>
    <mergeCell ref="J515:J519"/>
    <mergeCell ref="K515:K519"/>
    <mergeCell ref="L515:L519"/>
    <mergeCell ref="M515:M519"/>
    <mergeCell ref="N515:N519"/>
    <mergeCell ref="O515:O519"/>
    <mergeCell ref="P515:P519"/>
    <mergeCell ref="Q515:Q519"/>
    <mergeCell ref="S515:T515"/>
    <mergeCell ref="V515:V519"/>
    <mergeCell ref="W515:W519"/>
    <mergeCell ref="X515:X519"/>
    <mergeCell ref="Y515:Y519"/>
    <mergeCell ref="Z515:Z519"/>
    <mergeCell ref="AA515:AA519"/>
    <mergeCell ref="AB515:AB519"/>
    <mergeCell ref="AC515:AC519"/>
    <mergeCell ref="AD515:AD519"/>
    <mergeCell ref="AE515:AE519"/>
    <mergeCell ref="AF515:AF519"/>
    <mergeCell ref="AG515:AG519"/>
    <mergeCell ref="S519:T519"/>
    <mergeCell ref="B520:B524"/>
    <mergeCell ref="C520:C524"/>
    <mergeCell ref="D520:D524"/>
    <mergeCell ref="E520:E524"/>
    <mergeCell ref="F520:F524"/>
    <mergeCell ref="G520:G524"/>
    <mergeCell ref="H520:H524"/>
    <mergeCell ref="I520:I524"/>
    <mergeCell ref="J520:J524"/>
    <mergeCell ref="K520:K524"/>
    <mergeCell ref="L520:L524"/>
    <mergeCell ref="M520:M524"/>
    <mergeCell ref="N520:N524"/>
    <mergeCell ref="O520:O524"/>
    <mergeCell ref="P520:P524"/>
    <mergeCell ref="Q520:Q524"/>
    <mergeCell ref="S520:T520"/>
    <mergeCell ref="V520:V524"/>
    <mergeCell ref="W520:W524"/>
    <mergeCell ref="X520:X524"/>
    <mergeCell ref="Y520:Y524"/>
    <mergeCell ref="Z520:Z524"/>
    <mergeCell ref="AA520:AA524"/>
    <mergeCell ref="AB520:AB524"/>
    <mergeCell ref="AC520:AC524"/>
    <mergeCell ref="AD520:AD524"/>
    <mergeCell ref="AE520:AE524"/>
    <mergeCell ref="AF520:AF524"/>
    <mergeCell ref="AG520:AG524"/>
    <mergeCell ref="S524:T524"/>
    <mergeCell ref="B525:B529"/>
    <mergeCell ref="C525:C529"/>
    <mergeCell ref="D525:D529"/>
    <mergeCell ref="E525:E529"/>
    <mergeCell ref="F525:F529"/>
    <mergeCell ref="H525:H529"/>
    <mergeCell ref="I525:I529"/>
    <mergeCell ref="J525:J529"/>
    <mergeCell ref="K525:K529"/>
    <mergeCell ref="L525:L529"/>
    <mergeCell ref="M525:M529"/>
    <mergeCell ref="N525:N529"/>
    <mergeCell ref="O525:O529"/>
    <mergeCell ref="P525:P529"/>
    <mergeCell ref="Q525:Q529"/>
    <mergeCell ref="S525:T525"/>
    <mergeCell ref="V525:V529"/>
    <mergeCell ref="W525:W529"/>
    <mergeCell ref="X525:X529"/>
    <mergeCell ref="Y525:Y529"/>
    <mergeCell ref="Z525:Z529"/>
    <mergeCell ref="AA525:AA529"/>
    <mergeCell ref="AB525:AB529"/>
    <mergeCell ref="AC525:AC529"/>
    <mergeCell ref="AD525:AD529"/>
    <mergeCell ref="AE525:AE529"/>
    <mergeCell ref="AF525:AF529"/>
    <mergeCell ref="AG525:AG529"/>
    <mergeCell ref="S529:T529"/>
    <mergeCell ref="B530:B534"/>
    <mergeCell ref="C530:C534"/>
    <mergeCell ref="D530:D534"/>
    <mergeCell ref="E530:E534"/>
    <mergeCell ref="F530:F534"/>
    <mergeCell ref="H530:H534"/>
    <mergeCell ref="I530:I534"/>
    <mergeCell ref="J530:J534"/>
    <mergeCell ref="K530:K534"/>
    <mergeCell ref="L530:L534"/>
    <mergeCell ref="M530:M534"/>
    <mergeCell ref="N530:N534"/>
    <mergeCell ref="O530:O534"/>
    <mergeCell ref="P530:P534"/>
    <mergeCell ref="Q530:Q534"/>
    <mergeCell ref="S530:T530"/>
    <mergeCell ref="V530:V534"/>
    <mergeCell ref="W530:W534"/>
    <mergeCell ref="X530:X534"/>
    <mergeCell ref="Y530:Y534"/>
    <mergeCell ref="Z530:Z534"/>
    <mergeCell ref="AA530:AA534"/>
    <mergeCell ref="AB530:AB534"/>
    <mergeCell ref="AC530:AC534"/>
    <mergeCell ref="AD530:AD534"/>
    <mergeCell ref="AE530:AE534"/>
    <mergeCell ref="AF530:AF534"/>
    <mergeCell ref="AG530:AG534"/>
    <mergeCell ref="S534:T534"/>
    <mergeCell ref="B537:B541"/>
    <mergeCell ref="C537:C541"/>
    <mergeCell ref="D537:D541"/>
    <mergeCell ref="E537:E541"/>
    <mergeCell ref="F537:F541"/>
    <mergeCell ref="G537:G541"/>
    <mergeCell ref="H537:H541"/>
    <mergeCell ref="I537:I541"/>
    <mergeCell ref="J537:J541"/>
    <mergeCell ref="K537:K541"/>
    <mergeCell ref="L537:L541"/>
    <mergeCell ref="M537:M541"/>
    <mergeCell ref="N537:N541"/>
    <mergeCell ref="O537:O541"/>
    <mergeCell ref="P537:P541"/>
    <mergeCell ref="Q537:Q541"/>
    <mergeCell ref="S537:T537"/>
    <mergeCell ref="V537:V541"/>
    <mergeCell ref="W537:W541"/>
    <mergeCell ref="X537:X541"/>
    <mergeCell ref="Y537:Y541"/>
    <mergeCell ref="Z537:Z541"/>
    <mergeCell ref="AA537:AA541"/>
    <mergeCell ref="AB537:AB541"/>
    <mergeCell ref="AC537:AC541"/>
    <mergeCell ref="AD537:AD541"/>
    <mergeCell ref="AE537:AE541"/>
    <mergeCell ref="AF537:AF541"/>
    <mergeCell ref="AG537:AG541"/>
    <mergeCell ref="S541:T541"/>
    <mergeCell ref="B542:B546"/>
    <mergeCell ref="C542:C546"/>
    <mergeCell ref="D542:D546"/>
    <mergeCell ref="E542:E546"/>
    <mergeCell ref="F542:F546"/>
    <mergeCell ref="G542:G546"/>
    <mergeCell ref="H542:H546"/>
    <mergeCell ref="I542:I546"/>
    <mergeCell ref="J542:J546"/>
    <mergeCell ref="K542:K546"/>
    <mergeCell ref="L542:L546"/>
    <mergeCell ref="M542:M546"/>
    <mergeCell ref="N542:N546"/>
    <mergeCell ref="O542:O546"/>
    <mergeCell ref="P542:P546"/>
    <mergeCell ref="Q542:Q546"/>
    <mergeCell ref="S542:T542"/>
    <mergeCell ref="V542:V546"/>
    <mergeCell ref="W542:W546"/>
    <mergeCell ref="X542:X546"/>
    <mergeCell ref="Y542:Y546"/>
    <mergeCell ref="Z542:Z546"/>
    <mergeCell ref="AA542:AA546"/>
    <mergeCell ref="AB542:AB546"/>
    <mergeCell ref="AC542:AC546"/>
    <mergeCell ref="AD542:AD546"/>
    <mergeCell ref="AE542:AE546"/>
    <mergeCell ref="AF542:AF546"/>
    <mergeCell ref="AG542:AG546"/>
    <mergeCell ref="S546:T546"/>
    <mergeCell ref="B547:B551"/>
    <mergeCell ref="C547:C551"/>
    <mergeCell ref="D547:D551"/>
    <mergeCell ref="E547:E551"/>
    <mergeCell ref="F547:F551"/>
    <mergeCell ref="H547:H551"/>
    <mergeCell ref="I547:I551"/>
    <mergeCell ref="J547:J551"/>
    <mergeCell ref="K547:K551"/>
    <mergeCell ref="L547:L551"/>
    <mergeCell ref="M547:M551"/>
    <mergeCell ref="N547:N551"/>
    <mergeCell ref="O547:O551"/>
    <mergeCell ref="P547:P551"/>
    <mergeCell ref="Q547:Q551"/>
    <mergeCell ref="S547:T547"/>
    <mergeCell ref="V547:V551"/>
    <mergeCell ref="W547:W551"/>
    <mergeCell ref="X547:X551"/>
    <mergeCell ref="Y547:Y551"/>
    <mergeCell ref="Z547:Z551"/>
    <mergeCell ref="AA547:AA551"/>
    <mergeCell ref="AB547:AB551"/>
    <mergeCell ref="AC547:AC551"/>
    <mergeCell ref="AD547:AD551"/>
    <mergeCell ref="AE547:AE551"/>
    <mergeCell ref="AF547:AF551"/>
    <mergeCell ref="AG547:AG551"/>
    <mergeCell ref="S551:T551"/>
    <mergeCell ref="B552:B556"/>
    <mergeCell ref="C552:C556"/>
    <mergeCell ref="D552:D556"/>
    <mergeCell ref="E552:E556"/>
    <mergeCell ref="F552:F556"/>
    <mergeCell ref="H552:H556"/>
    <mergeCell ref="I552:I556"/>
    <mergeCell ref="J552:J556"/>
    <mergeCell ref="K552:K556"/>
    <mergeCell ref="L552:L556"/>
    <mergeCell ref="M552:M556"/>
    <mergeCell ref="N552:N556"/>
    <mergeCell ref="O552:O556"/>
    <mergeCell ref="P552:P556"/>
    <mergeCell ref="Q552:Q556"/>
    <mergeCell ref="S552:T552"/>
    <mergeCell ref="V552:V556"/>
    <mergeCell ref="W552:W556"/>
    <mergeCell ref="X552:X556"/>
    <mergeCell ref="Y552:Y556"/>
    <mergeCell ref="Z552:Z556"/>
    <mergeCell ref="AA552:AA556"/>
    <mergeCell ref="AB552:AB556"/>
    <mergeCell ref="AC552:AC556"/>
    <mergeCell ref="AD552:AD556"/>
    <mergeCell ref="AE552:AE556"/>
    <mergeCell ref="AF552:AF556"/>
    <mergeCell ref="AG552:AG556"/>
    <mergeCell ref="S556:T556"/>
    <mergeCell ref="B559:B563"/>
    <mergeCell ref="C559:C563"/>
    <mergeCell ref="D559:D563"/>
    <mergeCell ref="E559:E563"/>
    <mergeCell ref="F559:F563"/>
    <mergeCell ref="G559:G563"/>
    <mergeCell ref="H559:H563"/>
    <mergeCell ref="I559:I563"/>
    <mergeCell ref="J559:J563"/>
    <mergeCell ref="K559:K563"/>
    <mergeCell ref="L559:L563"/>
    <mergeCell ref="M559:M563"/>
    <mergeCell ref="N559:N563"/>
    <mergeCell ref="O559:O563"/>
    <mergeCell ref="P559:P563"/>
    <mergeCell ref="Q559:Q563"/>
    <mergeCell ref="S559:T559"/>
    <mergeCell ref="V559:V563"/>
    <mergeCell ref="W559:W563"/>
    <mergeCell ref="X559:X563"/>
    <mergeCell ref="Y559:Y563"/>
    <mergeCell ref="Z559:Z563"/>
    <mergeCell ref="AA559:AA563"/>
    <mergeCell ref="AB559:AB563"/>
    <mergeCell ref="AC559:AC563"/>
    <mergeCell ref="AD559:AD563"/>
    <mergeCell ref="AE559:AE563"/>
    <mergeCell ref="AF559:AF563"/>
    <mergeCell ref="AG559:AG563"/>
    <mergeCell ref="S563:T563"/>
    <mergeCell ref="B564:B568"/>
    <mergeCell ref="C564:C568"/>
    <mergeCell ref="D564:D568"/>
    <mergeCell ref="E564:E568"/>
    <mergeCell ref="F564:F568"/>
    <mergeCell ref="G564:G568"/>
    <mergeCell ref="H564:H568"/>
    <mergeCell ref="I564:I568"/>
    <mergeCell ref="J564:J568"/>
    <mergeCell ref="K564:K568"/>
    <mergeCell ref="L564:L568"/>
    <mergeCell ref="M564:M568"/>
    <mergeCell ref="N564:N568"/>
    <mergeCell ref="O564:O568"/>
    <mergeCell ref="P564:P568"/>
    <mergeCell ref="Q564:Q568"/>
    <mergeCell ref="S564:T564"/>
    <mergeCell ref="V564:V568"/>
    <mergeCell ref="W564:W568"/>
    <mergeCell ref="X564:X568"/>
    <mergeCell ref="Y564:Y568"/>
    <mergeCell ref="Z564:Z568"/>
    <mergeCell ref="AA564:AA568"/>
    <mergeCell ref="AB564:AB568"/>
    <mergeCell ref="AC564:AC568"/>
    <mergeCell ref="AD564:AD568"/>
    <mergeCell ref="AE564:AE568"/>
    <mergeCell ref="AF564:AF568"/>
    <mergeCell ref="AG564:AG568"/>
    <mergeCell ref="S568:T568"/>
    <mergeCell ref="B569:B573"/>
    <mergeCell ref="C569:C573"/>
    <mergeCell ref="D569:D573"/>
    <mergeCell ref="E569:E573"/>
    <mergeCell ref="F569:F573"/>
    <mergeCell ref="H569:H573"/>
    <mergeCell ref="I569:I573"/>
    <mergeCell ref="J569:J573"/>
    <mergeCell ref="K569:K573"/>
    <mergeCell ref="L569:L573"/>
    <mergeCell ref="M569:M573"/>
    <mergeCell ref="N569:N573"/>
    <mergeCell ref="O569:O573"/>
    <mergeCell ref="P569:P573"/>
    <mergeCell ref="Q569:Q573"/>
    <mergeCell ref="S569:T569"/>
    <mergeCell ref="V569:V573"/>
    <mergeCell ref="W569:W573"/>
    <mergeCell ref="X569:X573"/>
    <mergeCell ref="Y569:Y573"/>
    <mergeCell ref="Z569:Z573"/>
    <mergeCell ref="AA569:AA573"/>
    <mergeCell ref="AB569:AB573"/>
    <mergeCell ref="AC569:AC573"/>
    <mergeCell ref="AD569:AD573"/>
    <mergeCell ref="AE569:AE573"/>
    <mergeCell ref="AF569:AF573"/>
    <mergeCell ref="AG569:AG573"/>
    <mergeCell ref="S573:T573"/>
    <mergeCell ref="B574:B578"/>
    <mergeCell ref="C574:C578"/>
    <mergeCell ref="D574:D578"/>
    <mergeCell ref="E574:E578"/>
    <mergeCell ref="F574:F578"/>
    <mergeCell ref="H574:H578"/>
    <mergeCell ref="I574:I578"/>
    <mergeCell ref="J574:J578"/>
    <mergeCell ref="K574:K578"/>
    <mergeCell ref="L574:L578"/>
    <mergeCell ref="M574:M578"/>
    <mergeCell ref="N574:N578"/>
    <mergeCell ref="O574:O578"/>
    <mergeCell ref="P574:P578"/>
    <mergeCell ref="Q574:Q578"/>
    <mergeCell ref="S574:T574"/>
    <mergeCell ref="V574:V578"/>
    <mergeCell ref="W574:W578"/>
    <mergeCell ref="X574:X578"/>
    <mergeCell ref="Y574:Y578"/>
    <mergeCell ref="Z574:Z578"/>
    <mergeCell ref="AA574:AA578"/>
    <mergeCell ref="AB574:AB578"/>
    <mergeCell ref="AC574:AC578"/>
    <mergeCell ref="AD574:AD578"/>
    <mergeCell ref="AE574:AE578"/>
    <mergeCell ref="AF574:AF578"/>
    <mergeCell ref="AG574:AG578"/>
    <mergeCell ref="S578:T578"/>
    <mergeCell ref="B581:B585"/>
    <mergeCell ref="C581:C585"/>
    <mergeCell ref="D581:D585"/>
    <mergeCell ref="E581:E585"/>
    <mergeCell ref="F581:F585"/>
    <mergeCell ref="G581:G585"/>
    <mergeCell ref="H581:H585"/>
    <mergeCell ref="I581:I585"/>
    <mergeCell ref="J581:J585"/>
    <mergeCell ref="K581:K585"/>
    <mergeCell ref="L581:L585"/>
    <mergeCell ref="M581:M585"/>
    <mergeCell ref="N581:N585"/>
    <mergeCell ref="O581:O585"/>
    <mergeCell ref="P581:P585"/>
    <mergeCell ref="Q581:Q585"/>
    <mergeCell ref="S581:T581"/>
    <mergeCell ref="V581:V585"/>
    <mergeCell ref="W581:W585"/>
    <mergeCell ref="X581:X585"/>
    <mergeCell ref="Y581:Y585"/>
    <mergeCell ref="Z581:Z585"/>
    <mergeCell ref="AA581:AA585"/>
    <mergeCell ref="AB581:AB585"/>
    <mergeCell ref="AC581:AC585"/>
    <mergeCell ref="AD581:AD585"/>
    <mergeCell ref="AE581:AE585"/>
    <mergeCell ref="AF581:AF585"/>
    <mergeCell ref="AG581:AG585"/>
    <mergeCell ref="S585:T585"/>
    <mergeCell ref="B586:B590"/>
    <mergeCell ref="C586:C590"/>
    <mergeCell ref="D586:D590"/>
    <mergeCell ref="E586:E590"/>
    <mergeCell ref="F586:F590"/>
    <mergeCell ref="G586:G590"/>
    <mergeCell ref="H586:H590"/>
    <mergeCell ref="I586:I590"/>
    <mergeCell ref="J586:J590"/>
    <mergeCell ref="K586:K590"/>
    <mergeCell ref="L586:L590"/>
    <mergeCell ref="M586:M590"/>
    <mergeCell ref="N586:N590"/>
    <mergeCell ref="O586:O590"/>
    <mergeCell ref="P586:P590"/>
    <mergeCell ref="Q586:Q590"/>
    <mergeCell ref="S586:T586"/>
    <mergeCell ref="V586:V590"/>
    <mergeCell ref="W586:W590"/>
    <mergeCell ref="X586:X590"/>
    <mergeCell ref="Y586:Y590"/>
    <mergeCell ref="Z586:Z590"/>
    <mergeCell ref="AA586:AA590"/>
    <mergeCell ref="AB586:AB590"/>
    <mergeCell ref="AC586:AC590"/>
    <mergeCell ref="AD586:AD590"/>
    <mergeCell ref="AE586:AE590"/>
    <mergeCell ref="AF586:AF590"/>
    <mergeCell ref="AG586:AG590"/>
    <mergeCell ref="V596:V600"/>
    <mergeCell ref="W596:W600"/>
    <mergeCell ref="X596:X600"/>
    <mergeCell ref="S590:T590"/>
    <mergeCell ref="B591:B595"/>
    <mergeCell ref="C591:C595"/>
    <mergeCell ref="D591:D595"/>
    <mergeCell ref="E591:E595"/>
    <mergeCell ref="F591:F595"/>
    <mergeCell ref="H591:H595"/>
    <mergeCell ref="I591:I595"/>
    <mergeCell ref="J591:J595"/>
    <mergeCell ref="K591:K595"/>
    <mergeCell ref="L591:L595"/>
    <mergeCell ref="M591:M595"/>
    <mergeCell ref="N591:N595"/>
    <mergeCell ref="O591:O595"/>
    <mergeCell ref="P591:P595"/>
    <mergeCell ref="Q591:Q595"/>
    <mergeCell ref="S591:T591"/>
    <mergeCell ref="X603:X607"/>
    <mergeCell ref="Y603:Y607"/>
    <mergeCell ref="Z603:Z607"/>
    <mergeCell ref="V591:V595"/>
    <mergeCell ref="W591:W595"/>
    <mergeCell ref="X591:X595"/>
    <mergeCell ref="Y591:Y595"/>
    <mergeCell ref="Z591:Z595"/>
    <mergeCell ref="AA591:AA595"/>
    <mergeCell ref="AB591:AB595"/>
    <mergeCell ref="AC591:AC595"/>
    <mergeCell ref="AD591:AD595"/>
    <mergeCell ref="AE591:AE595"/>
    <mergeCell ref="AF591:AF595"/>
    <mergeCell ref="AG591:AG595"/>
    <mergeCell ref="S595:T595"/>
    <mergeCell ref="B596:B600"/>
    <mergeCell ref="C596:C600"/>
    <mergeCell ref="D596:D600"/>
    <mergeCell ref="E596:E600"/>
    <mergeCell ref="F596:F600"/>
    <mergeCell ref="H596:H600"/>
    <mergeCell ref="I596:I600"/>
    <mergeCell ref="J596:J600"/>
    <mergeCell ref="K596:K600"/>
    <mergeCell ref="L596:L600"/>
    <mergeCell ref="M596:M600"/>
    <mergeCell ref="N596:N600"/>
    <mergeCell ref="O596:O600"/>
    <mergeCell ref="P596:P600"/>
    <mergeCell ref="Q596:Q600"/>
    <mergeCell ref="S596:T596"/>
    <mergeCell ref="Z608:Z612"/>
    <mergeCell ref="AA608:AA612"/>
    <mergeCell ref="AB608:AB612"/>
    <mergeCell ref="Y596:Y600"/>
    <mergeCell ref="Z596:Z600"/>
    <mergeCell ref="AA596:AA600"/>
    <mergeCell ref="AB596:AB600"/>
    <mergeCell ref="AC596:AC600"/>
    <mergeCell ref="AD596:AD600"/>
    <mergeCell ref="AE596:AE600"/>
    <mergeCell ref="AF596:AF600"/>
    <mergeCell ref="AG596:AG600"/>
    <mergeCell ref="S600:T600"/>
    <mergeCell ref="B603:B607"/>
    <mergeCell ref="C603:C607"/>
    <mergeCell ref="D603:D607"/>
    <mergeCell ref="E603:E607"/>
    <mergeCell ref="F603:F607"/>
    <mergeCell ref="G603:G607"/>
    <mergeCell ref="H603:H607"/>
    <mergeCell ref="I603:I607"/>
    <mergeCell ref="J603:J607"/>
    <mergeCell ref="K603:K607"/>
    <mergeCell ref="L603:L607"/>
    <mergeCell ref="M603:M607"/>
    <mergeCell ref="N603:N607"/>
    <mergeCell ref="O603:O607"/>
    <mergeCell ref="P603:P607"/>
    <mergeCell ref="Q603:Q607"/>
    <mergeCell ref="S603:T603"/>
    <mergeCell ref="V603:V607"/>
    <mergeCell ref="W603:W607"/>
    <mergeCell ref="AC613:AC617"/>
    <mergeCell ref="AD613:AD617"/>
    <mergeCell ref="AE613:AE617"/>
    <mergeCell ref="AA603:AA607"/>
    <mergeCell ref="AB603:AB607"/>
    <mergeCell ref="AC603:AC607"/>
    <mergeCell ref="AD603:AD607"/>
    <mergeCell ref="AE603:AE607"/>
    <mergeCell ref="AF603:AF607"/>
    <mergeCell ref="AG603:AG607"/>
    <mergeCell ref="S607:T607"/>
    <mergeCell ref="B608:B612"/>
    <mergeCell ref="C608:C612"/>
    <mergeCell ref="D608:D612"/>
    <mergeCell ref="E608:E612"/>
    <mergeCell ref="F608:F612"/>
    <mergeCell ref="G608:G612"/>
    <mergeCell ref="H608:H612"/>
    <mergeCell ref="I608:I612"/>
    <mergeCell ref="J608:J612"/>
    <mergeCell ref="K608:K612"/>
    <mergeCell ref="L608:L612"/>
    <mergeCell ref="M608:M612"/>
    <mergeCell ref="N608:N612"/>
    <mergeCell ref="O608:O612"/>
    <mergeCell ref="P608:P612"/>
    <mergeCell ref="Q608:Q612"/>
    <mergeCell ref="S608:T608"/>
    <mergeCell ref="V608:V612"/>
    <mergeCell ref="W608:W612"/>
    <mergeCell ref="X608:X612"/>
    <mergeCell ref="Y608:Y612"/>
    <mergeCell ref="AF618:AF622"/>
    <mergeCell ref="AG618:AG622"/>
    <mergeCell ref="S622:T622"/>
    <mergeCell ref="AC608:AC612"/>
    <mergeCell ref="AD608:AD612"/>
    <mergeCell ref="AE608:AE612"/>
    <mergeCell ref="AF608:AF612"/>
    <mergeCell ref="AG608:AG612"/>
    <mergeCell ref="S612:T612"/>
    <mergeCell ref="B613:B617"/>
    <mergeCell ref="C613:C617"/>
    <mergeCell ref="D613:D617"/>
    <mergeCell ref="E613:E617"/>
    <mergeCell ref="F613:F617"/>
    <mergeCell ref="H613:H617"/>
    <mergeCell ref="I613:I617"/>
    <mergeCell ref="J613:J617"/>
    <mergeCell ref="K613:K617"/>
    <mergeCell ref="L613:L617"/>
    <mergeCell ref="M613:M617"/>
    <mergeCell ref="N613:N617"/>
    <mergeCell ref="O613:O617"/>
    <mergeCell ref="P613:P617"/>
    <mergeCell ref="Q613:Q617"/>
    <mergeCell ref="S613:T613"/>
    <mergeCell ref="V613:V617"/>
    <mergeCell ref="W613:W617"/>
    <mergeCell ref="X613:X617"/>
    <mergeCell ref="Y613:Y617"/>
    <mergeCell ref="Z613:Z617"/>
    <mergeCell ref="AA613:AA617"/>
    <mergeCell ref="AB613:AB617"/>
    <mergeCell ref="P625:P629"/>
    <mergeCell ref="Q625:Q629"/>
    <mergeCell ref="S625:T625"/>
    <mergeCell ref="AF613:AF617"/>
    <mergeCell ref="AG613:AG617"/>
    <mergeCell ref="S617:T617"/>
    <mergeCell ref="B618:B622"/>
    <mergeCell ref="C618:C622"/>
    <mergeCell ref="D618:D622"/>
    <mergeCell ref="E618:E622"/>
    <mergeCell ref="F618:F622"/>
    <mergeCell ref="H618:H622"/>
    <mergeCell ref="I618:I622"/>
    <mergeCell ref="J618:J622"/>
    <mergeCell ref="K618:K622"/>
    <mergeCell ref="L618:L622"/>
    <mergeCell ref="M618:M622"/>
    <mergeCell ref="N618:N622"/>
    <mergeCell ref="O618:O622"/>
    <mergeCell ref="P618:P622"/>
    <mergeCell ref="Q618:Q622"/>
    <mergeCell ref="S618:T618"/>
    <mergeCell ref="V618:V622"/>
    <mergeCell ref="W618:W622"/>
    <mergeCell ref="X618:X622"/>
    <mergeCell ref="Y618:Y622"/>
    <mergeCell ref="Z618:Z622"/>
    <mergeCell ref="AA618:AA622"/>
    <mergeCell ref="AB618:AB622"/>
    <mergeCell ref="AC618:AC622"/>
    <mergeCell ref="AD618:AD622"/>
    <mergeCell ref="AE618:AE622"/>
    <mergeCell ref="S629:T629"/>
    <mergeCell ref="B630:B634"/>
    <mergeCell ref="C630:C634"/>
    <mergeCell ref="D630:D634"/>
    <mergeCell ref="E630:E634"/>
    <mergeCell ref="F630:F634"/>
    <mergeCell ref="G630:G634"/>
    <mergeCell ref="H630:H634"/>
    <mergeCell ref="I630:I634"/>
    <mergeCell ref="J630:J634"/>
    <mergeCell ref="K630:K634"/>
    <mergeCell ref="L630:L634"/>
    <mergeCell ref="M630:M634"/>
    <mergeCell ref="N630:N634"/>
    <mergeCell ref="O630:O634"/>
    <mergeCell ref="P630:P634"/>
    <mergeCell ref="Q630:Q634"/>
    <mergeCell ref="S630:T630"/>
    <mergeCell ref="B625:B629"/>
    <mergeCell ref="C625:C629"/>
    <mergeCell ref="D625:D629"/>
    <mergeCell ref="E625:E629"/>
    <mergeCell ref="F625:F629"/>
    <mergeCell ref="G625:G629"/>
    <mergeCell ref="H625:H629"/>
    <mergeCell ref="I625:I629"/>
    <mergeCell ref="J625:J629"/>
    <mergeCell ref="K625:K629"/>
    <mergeCell ref="L625:L629"/>
    <mergeCell ref="M625:M629"/>
    <mergeCell ref="N625:N629"/>
    <mergeCell ref="O625:O629"/>
    <mergeCell ref="V635:V639"/>
    <mergeCell ref="W635:W639"/>
    <mergeCell ref="X635:X639"/>
    <mergeCell ref="Y635:Y639"/>
    <mergeCell ref="Z635:Z639"/>
    <mergeCell ref="V625:V629"/>
    <mergeCell ref="W625:W629"/>
    <mergeCell ref="X625:X629"/>
    <mergeCell ref="Y625:Y629"/>
    <mergeCell ref="Z625:Z629"/>
    <mergeCell ref="AA625:AA629"/>
    <mergeCell ref="AB625:AB629"/>
    <mergeCell ref="AC625:AC629"/>
    <mergeCell ref="AD625:AD629"/>
    <mergeCell ref="AE625:AE629"/>
    <mergeCell ref="AF625:AF629"/>
    <mergeCell ref="AG625:AG629"/>
    <mergeCell ref="V630:V634"/>
    <mergeCell ref="W630:W634"/>
    <mergeCell ref="Y640:Y644"/>
    <mergeCell ref="Z640:Z644"/>
    <mergeCell ref="AA640:AA644"/>
    <mergeCell ref="AB640:AB644"/>
    <mergeCell ref="AC640:AC644"/>
    <mergeCell ref="X630:X634"/>
    <mergeCell ref="Y630:Y634"/>
    <mergeCell ref="Z630:Z634"/>
    <mergeCell ref="AA630:AA634"/>
    <mergeCell ref="AB630:AB634"/>
    <mergeCell ref="AC630:AC634"/>
    <mergeCell ref="AD630:AD634"/>
    <mergeCell ref="AE630:AE634"/>
    <mergeCell ref="AF630:AF634"/>
    <mergeCell ref="AG630:AG634"/>
    <mergeCell ref="S634:T634"/>
    <mergeCell ref="B635:B639"/>
    <mergeCell ref="C635:C639"/>
    <mergeCell ref="D635:D639"/>
    <mergeCell ref="E635:E639"/>
    <mergeCell ref="F635:F639"/>
    <mergeCell ref="H635:H639"/>
    <mergeCell ref="I635:I639"/>
    <mergeCell ref="J635:J639"/>
    <mergeCell ref="K635:K639"/>
    <mergeCell ref="L635:L639"/>
    <mergeCell ref="M635:M639"/>
    <mergeCell ref="N635:N639"/>
    <mergeCell ref="O635:O639"/>
    <mergeCell ref="P635:P639"/>
    <mergeCell ref="Q635:Q639"/>
    <mergeCell ref="S635:T635"/>
    <mergeCell ref="AD640:AD644"/>
    <mergeCell ref="AE640:AE644"/>
    <mergeCell ref="AF640:AF644"/>
    <mergeCell ref="AG640:AG644"/>
    <mergeCell ref="S644:T644"/>
    <mergeCell ref="AA635:AA639"/>
    <mergeCell ref="AB635:AB639"/>
    <mergeCell ref="AC635:AC639"/>
    <mergeCell ref="AD635:AD639"/>
    <mergeCell ref="AE635:AE639"/>
    <mergeCell ref="AF635:AF639"/>
    <mergeCell ref="AG635:AG639"/>
    <mergeCell ref="S639:T639"/>
    <mergeCell ref="B640:B644"/>
    <mergeCell ref="C640:C644"/>
    <mergeCell ref="D640:D644"/>
    <mergeCell ref="E640:E644"/>
    <mergeCell ref="F640:F644"/>
    <mergeCell ref="H640:H644"/>
    <mergeCell ref="I640:I644"/>
    <mergeCell ref="J640:J644"/>
    <mergeCell ref="K640:K644"/>
    <mergeCell ref="L640:L644"/>
    <mergeCell ref="M640:M644"/>
    <mergeCell ref="N640:N644"/>
    <mergeCell ref="O640:O644"/>
    <mergeCell ref="P640:P644"/>
    <mergeCell ref="Q640:Q644"/>
    <mergeCell ref="S640:T640"/>
    <mergeCell ref="V640:V644"/>
    <mergeCell ref="W640:W644"/>
    <mergeCell ref="X640:X644"/>
    <mergeCell ref="B649:B653"/>
    <mergeCell ref="C649:C653"/>
    <mergeCell ref="D649:D653"/>
    <mergeCell ref="E649:E653"/>
    <mergeCell ref="F649:F653"/>
    <mergeCell ref="G649:G653"/>
    <mergeCell ref="H649:H653"/>
    <mergeCell ref="I649:I653"/>
    <mergeCell ref="J649:J653"/>
    <mergeCell ref="K649:K653"/>
    <mergeCell ref="L649:L653"/>
    <mergeCell ref="M649:M653"/>
    <mergeCell ref="N649:N653"/>
    <mergeCell ref="O649:O653"/>
    <mergeCell ref="P649:P653"/>
    <mergeCell ref="Q649:Q653"/>
    <mergeCell ref="S649:T649"/>
    <mergeCell ref="V649:V653"/>
    <mergeCell ref="W649:W653"/>
    <mergeCell ref="X649:X653"/>
    <mergeCell ref="Y649:Y653"/>
    <mergeCell ref="Z649:Z653"/>
    <mergeCell ref="AA649:AA653"/>
    <mergeCell ref="AB649:AB653"/>
    <mergeCell ref="AC649:AC653"/>
    <mergeCell ref="AD649:AD653"/>
    <mergeCell ref="AE649:AE653"/>
    <mergeCell ref="AF649:AF653"/>
    <mergeCell ref="AG649:AG653"/>
    <mergeCell ref="S653:T653"/>
    <mergeCell ref="B654:B658"/>
    <mergeCell ref="C654:C658"/>
    <mergeCell ref="D654:D658"/>
    <mergeCell ref="E654:E658"/>
    <mergeCell ref="F654:F658"/>
    <mergeCell ref="G654:G658"/>
    <mergeCell ref="H654:H658"/>
    <mergeCell ref="I654:I658"/>
    <mergeCell ref="J654:J658"/>
    <mergeCell ref="K654:K658"/>
    <mergeCell ref="L654:L658"/>
    <mergeCell ref="M654:M658"/>
    <mergeCell ref="N654:N658"/>
    <mergeCell ref="O654:O658"/>
    <mergeCell ref="P654:P658"/>
    <mergeCell ref="Q654:Q658"/>
    <mergeCell ref="S654:T654"/>
    <mergeCell ref="V654:V658"/>
    <mergeCell ref="W654:W658"/>
    <mergeCell ref="X654:X658"/>
    <mergeCell ref="Y654:Y658"/>
    <mergeCell ref="Z654:Z658"/>
    <mergeCell ref="AA654:AA658"/>
    <mergeCell ref="AB654:AB658"/>
    <mergeCell ref="AC654:AC658"/>
    <mergeCell ref="AD654:AD658"/>
    <mergeCell ref="AE654:AE658"/>
    <mergeCell ref="AF654:AF658"/>
    <mergeCell ref="AG654:AG658"/>
    <mergeCell ref="S658:T658"/>
    <mergeCell ref="B659:B663"/>
    <mergeCell ref="C659:C663"/>
    <mergeCell ref="D659:D663"/>
    <mergeCell ref="E659:E663"/>
    <mergeCell ref="F659:F663"/>
    <mergeCell ref="H659:H663"/>
    <mergeCell ref="I659:I663"/>
    <mergeCell ref="J659:J663"/>
    <mergeCell ref="K659:K663"/>
    <mergeCell ref="L659:L663"/>
    <mergeCell ref="M659:M663"/>
    <mergeCell ref="N659:N663"/>
    <mergeCell ref="O659:O663"/>
    <mergeCell ref="P659:P663"/>
    <mergeCell ref="Q659:Q663"/>
    <mergeCell ref="S659:T659"/>
    <mergeCell ref="V659:V663"/>
    <mergeCell ref="W659:W663"/>
    <mergeCell ref="X659:X663"/>
    <mergeCell ref="Y659:Y663"/>
    <mergeCell ref="Z659:Z663"/>
    <mergeCell ref="AA659:AA663"/>
    <mergeCell ref="AB659:AB663"/>
    <mergeCell ref="AC659:AC663"/>
    <mergeCell ref="AD659:AD663"/>
    <mergeCell ref="AE659:AE663"/>
    <mergeCell ref="AF659:AF663"/>
    <mergeCell ref="AG659:AG663"/>
    <mergeCell ref="S663:T663"/>
    <mergeCell ref="B664:B668"/>
    <mergeCell ref="C664:C668"/>
    <mergeCell ref="D664:D668"/>
    <mergeCell ref="E664:E668"/>
    <mergeCell ref="F664:F668"/>
    <mergeCell ref="H664:H668"/>
    <mergeCell ref="I664:I668"/>
    <mergeCell ref="J664:J668"/>
    <mergeCell ref="K664:K668"/>
    <mergeCell ref="L664:L668"/>
    <mergeCell ref="M664:M668"/>
    <mergeCell ref="N664:N668"/>
    <mergeCell ref="O664:O668"/>
    <mergeCell ref="P664:P668"/>
    <mergeCell ref="Q664:Q668"/>
    <mergeCell ref="S664:T664"/>
    <mergeCell ref="V664:V668"/>
    <mergeCell ref="W664:W668"/>
    <mergeCell ref="X664:X668"/>
    <mergeCell ref="Y664:Y668"/>
    <mergeCell ref="Z664:Z668"/>
    <mergeCell ref="AA664:AA668"/>
    <mergeCell ref="AB664:AB668"/>
    <mergeCell ref="AC664:AC668"/>
    <mergeCell ref="AD664:AD668"/>
    <mergeCell ref="AE664:AE668"/>
    <mergeCell ref="AF664:AF668"/>
    <mergeCell ref="AG664:AG668"/>
    <mergeCell ref="S668:T668"/>
    <mergeCell ref="B671:B675"/>
    <mergeCell ref="C671:C675"/>
    <mergeCell ref="D671:D675"/>
    <mergeCell ref="E671:E675"/>
    <mergeCell ref="F671:F675"/>
    <mergeCell ref="G671:G675"/>
    <mergeCell ref="H671:H675"/>
    <mergeCell ref="I671:I675"/>
    <mergeCell ref="J671:J675"/>
    <mergeCell ref="K671:K675"/>
    <mergeCell ref="L671:L675"/>
    <mergeCell ref="M671:M675"/>
    <mergeCell ref="N671:N675"/>
    <mergeCell ref="O671:O675"/>
    <mergeCell ref="P671:P675"/>
    <mergeCell ref="Q671:Q675"/>
    <mergeCell ref="S671:T671"/>
    <mergeCell ref="V671:V675"/>
    <mergeCell ref="W671:W675"/>
    <mergeCell ref="X671:X675"/>
    <mergeCell ref="Y671:Y675"/>
    <mergeCell ref="Z671:Z675"/>
    <mergeCell ref="AA671:AA675"/>
    <mergeCell ref="AB671:AB675"/>
    <mergeCell ref="AC671:AC675"/>
    <mergeCell ref="AD671:AD675"/>
    <mergeCell ref="AE671:AE675"/>
    <mergeCell ref="AF671:AF675"/>
    <mergeCell ref="AG671:AG675"/>
    <mergeCell ref="S675:T675"/>
    <mergeCell ref="G676:G680"/>
    <mergeCell ref="B686:B690"/>
    <mergeCell ref="C686:C690"/>
    <mergeCell ref="D686:D690"/>
    <mergeCell ref="E686:E690"/>
    <mergeCell ref="F686:F690"/>
    <mergeCell ref="H686:H690"/>
    <mergeCell ref="I686:I690"/>
    <mergeCell ref="J686:J690"/>
    <mergeCell ref="K686:K690"/>
    <mergeCell ref="L686:L690"/>
    <mergeCell ref="M686:M690"/>
    <mergeCell ref="N686:N690"/>
    <mergeCell ref="O686:O690"/>
    <mergeCell ref="P686:P690"/>
    <mergeCell ref="Q686:Q690"/>
    <mergeCell ref="S686:T686"/>
    <mergeCell ref="V686:V690"/>
    <mergeCell ref="W686:W690"/>
    <mergeCell ref="X686:X690"/>
    <mergeCell ref="Y686:Y690"/>
    <mergeCell ref="Z686:Z690"/>
    <mergeCell ref="AA686:AA690"/>
    <mergeCell ref="AB686:AB690"/>
    <mergeCell ref="AC686:AC690"/>
    <mergeCell ref="AD686:AD690"/>
    <mergeCell ref="AE686:AE690"/>
    <mergeCell ref="AF686:AF690"/>
    <mergeCell ref="AG686:AG690"/>
    <mergeCell ref="P693:P697"/>
    <mergeCell ref="Q693:Q697"/>
    <mergeCell ref="S693:T693"/>
    <mergeCell ref="V693:V697"/>
    <mergeCell ref="W693:W697"/>
    <mergeCell ref="X693:X697"/>
    <mergeCell ref="Y693:Y697"/>
    <mergeCell ref="Z693:Z697"/>
    <mergeCell ref="AA693:AA697"/>
    <mergeCell ref="AB693:AB697"/>
    <mergeCell ref="AC693:AC697"/>
    <mergeCell ref="AD693:AD697"/>
    <mergeCell ref="AE693:AE697"/>
    <mergeCell ref="AF693:AF697"/>
    <mergeCell ref="AG693:AG697"/>
    <mergeCell ref="S697:T697"/>
    <mergeCell ref="B698:B702"/>
    <mergeCell ref="C698:C702"/>
    <mergeCell ref="D698:D702"/>
    <mergeCell ref="E698:E702"/>
    <mergeCell ref="F698:F702"/>
    <mergeCell ref="G698:G702"/>
    <mergeCell ref="H698:H702"/>
    <mergeCell ref="I698:I702"/>
    <mergeCell ref="J698:J702"/>
    <mergeCell ref="K698:K702"/>
    <mergeCell ref="L698:L702"/>
    <mergeCell ref="M698:M702"/>
    <mergeCell ref="N698:N702"/>
    <mergeCell ref="O698:O702"/>
    <mergeCell ref="P698:P702"/>
    <mergeCell ref="Q698:Q702"/>
    <mergeCell ref="S698:T698"/>
    <mergeCell ref="V698:V702"/>
    <mergeCell ref="W698:W702"/>
    <mergeCell ref="X698:X702"/>
    <mergeCell ref="Y698:Y702"/>
    <mergeCell ref="Z698:Z702"/>
    <mergeCell ref="AA698:AA702"/>
    <mergeCell ref="AB698:AB702"/>
    <mergeCell ref="AC698:AC702"/>
    <mergeCell ref="AD698:AD702"/>
    <mergeCell ref="AE698:AE702"/>
    <mergeCell ref="AF698:AF702"/>
    <mergeCell ref="AG698:AG702"/>
    <mergeCell ref="S702:T702"/>
    <mergeCell ref="B703:B707"/>
    <mergeCell ref="C703:C707"/>
    <mergeCell ref="D703:D707"/>
    <mergeCell ref="E703:E707"/>
    <mergeCell ref="F703:F707"/>
    <mergeCell ref="H703:H707"/>
    <mergeCell ref="I703:I707"/>
    <mergeCell ref="J703:J707"/>
    <mergeCell ref="K703:K707"/>
    <mergeCell ref="L703:L707"/>
    <mergeCell ref="M703:M707"/>
    <mergeCell ref="N703:N707"/>
    <mergeCell ref="O703:O707"/>
    <mergeCell ref="P703:P707"/>
    <mergeCell ref="Q703:Q707"/>
    <mergeCell ref="S703:T703"/>
    <mergeCell ref="V703:V707"/>
    <mergeCell ref="W703:W707"/>
    <mergeCell ref="X703:X707"/>
    <mergeCell ref="Y703:Y707"/>
    <mergeCell ref="Z703:Z707"/>
    <mergeCell ref="AA703:AA707"/>
    <mergeCell ref="AB703:AB707"/>
    <mergeCell ref="AC703:AC707"/>
    <mergeCell ref="AD703:AD707"/>
    <mergeCell ref="AE703:AE707"/>
    <mergeCell ref="AF703:AF707"/>
    <mergeCell ref="AG703:AG707"/>
    <mergeCell ref="S707:T707"/>
    <mergeCell ref="B708:B712"/>
    <mergeCell ref="C708:C712"/>
    <mergeCell ref="D708:D712"/>
    <mergeCell ref="E708:E712"/>
    <mergeCell ref="F708:F712"/>
    <mergeCell ref="H708:H712"/>
    <mergeCell ref="I708:I712"/>
    <mergeCell ref="J708:J712"/>
    <mergeCell ref="K708:K712"/>
    <mergeCell ref="L708:L712"/>
    <mergeCell ref="M708:M712"/>
    <mergeCell ref="N708:N712"/>
    <mergeCell ref="O708:O712"/>
    <mergeCell ref="P708:P712"/>
    <mergeCell ref="Q708:Q712"/>
    <mergeCell ref="S708:T708"/>
    <mergeCell ref="V708:V712"/>
    <mergeCell ref="W708:W712"/>
    <mergeCell ref="X708:X712"/>
    <mergeCell ref="Y708:Y712"/>
    <mergeCell ref="Z708:Z712"/>
    <mergeCell ref="AA708:AA712"/>
    <mergeCell ref="AB708:AB712"/>
    <mergeCell ref="AC708:AC712"/>
    <mergeCell ref="AD708:AD712"/>
    <mergeCell ref="AE708:AE712"/>
    <mergeCell ref="AF708:AF712"/>
    <mergeCell ref="AG708:AG712"/>
    <mergeCell ref="S712:T712"/>
    <mergeCell ref="B715:B719"/>
    <mergeCell ref="C715:C719"/>
    <mergeCell ref="D715:D719"/>
    <mergeCell ref="E715:E719"/>
    <mergeCell ref="F715:F719"/>
    <mergeCell ref="G715:G719"/>
    <mergeCell ref="H715:H719"/>
    <mergeCell ref="I715:I719"/>
    <mergeCell ref="J715:J719"/>
    <mergeCell ref="K715:K719"/>
    <mergeCell ref="L715:L719"/>
    <mergeCell ref="M715:M719"/>
    <mergeCell ref="N715:N719"/>
    <mergeCell ref="O715:O719"/>
    <mergeCell ref="P715:P719"/>
    <mergeCell ref="Q715:Q719"/>
    <mergeCell ref="S715:T715"/>
    <mergeCell ref="V715:V719"/>
    <mergeCell ref="W715:W719"/>
    <mergeCell ref="X715:X719"/>
    <mergeCell ref="Y715:Y719"/>
    <mergeCell ref="Z715:Z719"/>
    <mergeCell ref="AA715:AA719"/>
    <mergeCell ref="AB715:AB719"/>
    <mergeCell ref="AC715:AC719"/>
    <mergeCell ref="AD715:AD719"/>
    <mergeCell ref="AE715:AE719"/>
    <mergeCell ref="AF715:AF719"/>
    <mergeCell ref="AG715:AG719"/>
    <mergeCell ref="S719:T719"/>
    <mergeCell ref="B720:B724"/>
    <mergeCell ref="C720:C724"/>
    <mergeCell ref="D720:D724"/>
    <mergeCell ref="E720:E724"/>
    <mergeCell ref="F720:F724"/>
    <mergeCell ref="G720:G724"/>
    <mergeCell ref="H720:H724"/>
    <mergeCell ref="I720:I724"/>
    <mergeCell ref="J720:J724"/>
    <mergeCell ref="K720:K724"/>
    <mergeCell ref="L720:L724"/>
    <mergeCell ref="M720:M724"/>
    <mergeCell ref="N720:N724"/>
    <mergeCell ref="O720:O724"/>
    <mergeCell ref="P720:P724"/>
    <mergeCell ref="Q720:Q724"/>
    <mergeCell ref="S720:T720"/>
    <mergeCell ref="V720:V724"/>
    <mergeCell ref="W720:W724"/>
    <mergeCell ref="X720:X724"/>
    <mergeCell ref="Y720:Y724"/>
    <mergeCell ref="Z720:Z724"/>
    <mergeCell ref="AA720:AA724"/>
    <mergeCell ref="AB720:AB724"/>
    <mergeCell ref="AC720:AC724"/>
    <mergeCell ref="AD720:AD724"/>
    <mergeCell ref="AE720:AE724"/>
    <mergeCell ref="AF720:AF724"/>
    <mergeCell ref="AG720:AG724"/>
    <mergeCell ref="S724:T724"/>
    <mergeCell ref="B725:B729"/>
    <mergeCell ref="C725:C729"/>
    <mergeCell ref="D725:D729"/>
    <mergeCell ref="E725:E729"/>
    <mergeCell ref="F725:F729"/>
    <mergeCell ref="H725:H729"/>
    <mergeCell ref="I725:I729"/>
    <mergeCell ref="J725:J729"/>
    <mergeCell ref="K725:K729"/>
    <mergeCell ref="L725:L729"/>
    <mergeCell ref="M725:M729"/>
    <mergeCell ref="N725:N729"/>
    <mergeCell ref="O725:O729"/>
    <mergeCell ref="P725:P729"/>
    <mergeCell ref="Q725:Q729"/>
    <mergeCell ref="S725:T725"/>
    <mergeCell ref="V725:V729"/>
    <mergeCell ref="W725:W729"/>
    <mergeCell ref="X725:X729"/>
    <mergeCell ref="Y725:Y729"/>
    <mergeCell ref="Z725:Z729"/>
    <mergeCell ref="AA725:AA729"/>
    <mergeCell ref="AB725:AB729"/>
    <mergeCell ref="AC725:AC729"/>
    <mergeCell ref="AD725:AD729"/>
    <mergeCell ref="AE725:AE729"/>
    <mergeCell ref="AF725:AF729"/>
    <mergeCell ref="AG725:AG729"/>
    <mergeCell ref="S729:T729"/>
    <mergeCell ref="B730:B734"/>
    <mergeCell ref="C730:C734"/>
    <mergeCell ref="D730:D734"/>
    <mergeCell ref="E730:E734"/>
    <mergeCell ref="F730:F734"/>
    <mergeCell ref="H730:H734"/>
    <mergeCell ref="I730:I734"/>
    <mergeCell ref="J730:J734"/>
    <mergeCell ref="K730:K734"/>
    <mergeCell ref="L730:L734"/>
    <mergeCell ref="M730:M734"/>
    <mergeCell ref="N730:N734"/>
    <mergeCell ref="O730:O734"/>
    <mergeCell ref="P730:P734"/>
    <mergeCell ref="Q730:Q734"/>
    <mergeCell ref="S730:T730"/>
    <mergeCell ref="V730:V734"/>
    <mergeCell ref="W730:W734"/>
    <mergeCell ref="X730:X734"/>
    <mergeCell ref="Y730:Y734"/>
    <mergeCell ref="Z730:Z734"/>
    <mergeCell ref="AA730:AA734"/>
    <mergeCell ref="AB730:AB734"/>
    <mergeCell ref="AC730:AC734"/>
    <mergeCell ref="AD730:AD734"/>
    <mergeCell ref="AE730:AE734"/>
    <mergeCell ref="AF730:AF734"/>
    <mergeCell ref="AG730:AG734"/>
    <mergeCell ref="S734:T734"/>
    <mergeCell ref="B737:B741"/>
    <mergeCell ref="C737:C741"/>
    <mergeCell ref="D737:D741"/>
    <mergeCell ref="E737:E741"/>
    <mergeCell ref="F737:F741"/>
    <mergeCell ref="G737:G741"/>
    <mergeCell ref="H737:H741"/>
    <mergeCell ref="I737:I741"/>
    <mergeCell ref="J737:J741"/>
    <mergeCell ref="K737:K741"/>
    <mergeCell ref="L737:L741"/>
    <mergeCell ref="M737:M741"/>
    <mergeCell ref="N737:N741"/>
    <mergeCell ref="O737:O741"/>
    <mergeCell ref="P737:P741"/>
    <mergeCell ref="Q737:Q741"/>
    <mergeCell ref="S737:T737"/>
    <mergeCell ref="V737:V741"/>
    <mergeCell ref="W737:W741"/>
    <mergeCell ref="X737:X741"/>
    <mergeCell ref="Y737:Y741"/>
    <mergeCell ref="Z737:Z741"/>
    <mergeCell ref="AA737:AA741"/>
    <mergeCell ref="AB737:AB741"/>
    <mergeCell ref="AC737:AC741"/>
    <mergeCell ref="AD737:AD741"/>
    <mergeCell ref="AE737:AE741"/>
    <mergeCell ref="AF737:AF741"/>
    <mergeCell ref="AG737:AG741"/>
    <mergeCell ref="S741:T741"/>
    <mergeCell ref="B742:B746"/>
    <mergeCell ref="C742:C746"/>
    <mergeCell ref="D742:D746"/>
    <mergeCell ref="E742:E746"/>
    <mergeCell ref="F742:F746"/>
    <mergeCell ref="G742:G746"/>
    <mergeCell ref="H742:H746"/>
    <mergeCell ref="I742:I746"/>
    <mergeCell ref="J742:J746"/>
    <mergeCell ref="K742:K746"/>
    <mergeCell ref="L742:L746"/>
    <mergeCell ref="M742:M746"/>
    <mergeCell ref="N742:N746"/>
    <mergeCell ref="O742:O746"/>
    <mergeCell ref="P742:P746"/>
    <mergeCell ref="Q742:Q746"/>
    <mergeCell ref="S742:T742"/>
    <mergeCell ref="V742:V746"/>
    <mergeCell ref="W742:W746"/>
    <mergeCell ref="X742:X746"/>
    <mergeCell ref="Y742:Y746"/>
    <mergeCell ref="Z742:Z746"/>
    <mergeCell ref="AA742:AA746"/>
    <mergeCell ref="AB742:AB746"/>
    <mergeCell ref="AC742:AC746"/>
    <mergeCell ref="AD742:AD746"/>
    <mergeCell ref="AE742:AE746"/>
    <mergeCell ref="AF742:AF746"/>
    <mergeCell ref="AG742:AG746"/>
    <mergeCell ref="S746:T746"/>
    <mergeCell ref="B747:B751"/>
    <mergeCell ref="C747:C751"/>
    <mergeCell ref="D747:D751"/>
    <mergeCell ref="E747:E751"/>
    <mergeCell ref="F747:F751"/>
    <mergeCell ref="H747:H751"/>
    <mergeCell ref="I747:I751"/>
    <mergeCell ref="J747:J751"/>
    <mergeCell ref="K747:K751"/>
    <mergeCell ref="L747:L751"/>
    <mergeCell ref="M747:M751"/>
    <mergeCell ref="N747:N751"/>
    <mergeCell ref="O747:O751"/>
    <mergeCell ref="P747:P751"/>
    <mergeCell ref="Q747:Q751"/>
    <mergeCell ref="S747:T747"/>
    <mergeCell ref="V747:V751"/>
    <mergeCell ref="W747:W751"/>
    <mergeCell ref="X747:X751"/>
    <mergeCell ref="Y747:Y751"/>
    <mergeCell ref="Z747:Z751"/>
    <mergeCell ref="AA747:AA751"/>
    <mergeCell ref="AB747:AB751"/>
    <mergeCell ref="AC747:AC751"/>
    <mergeCell ref="AD747:AD751"/>
    <mergeCell ref="AE747:AE751"/>
    <mergeCell ref="AF747:AF751"/>
    <mergeCell ref="AG747:AG751"/>
    <mergeCell ref="S751:T751"/>
    <mergeCell ref="B752:B756"/>
    <mergeCell ref="C752:C756"/>
    <mergeCell ref="D752:D756"/>
    <mergeCell ref="E752:E756"/>
    <mergeCell ref="F752:F756"/>
    <mergeCell ref="H752:H756"/>
    <mergeCell ref="I752:I756"/>
    <mergeCell ref="J752:J756"/>
    <mergeCell ref="K752:K756"/>
    <mergeCell ref="L752:L756"/>
    <mergeCell ref="M752:M756"/>
    <mergeCell ref="N752:N756"/>
    <mergeCell ref="O752:O756"/>
    <mergeCell ref="P752:P756"/>
    <mergeCell ref="Q752:Q756"/>
    <mergeCell ref="S752:T752"/>
    <mergeCell ref="V752:V756"/>
    <mergeCell ref="W752:W756"/>
    <mergeCell ref="X752:X756"/>
    <mergeCell ref="Y752:Y756"/>
    <mergeCell ref="Z752:Z756"/>
    <mergeCell ref="AA752:AA756"/>
    <mergeCell ref="AB752:AB756"/>
    <mergeCell ref="AC752:AC756"/>
    <mergeCell ref="AD752:AD756"/>
    <mergeCell ref="AE752:AE756"/>
    <mergeCell ref="AF752:AF756"/>
    <mergeCell ref="AG752:AG756"/>
    <mergeCell ref="S756:T756"/>
    <mergeCell ref="B759:B763"/>
    <mergeCell ref="C759:C763"/>
    <mergeCell ref="D759:D763"/>
    <mergeCell ref="E759:E763"/>
    <mergeCell ref="F759:F763"/>
    <mergeCell ref="G759:G763"/>
    <mergeCell ref="H759:H763"/>
    <mergeCell ref="I759:I763"/>
    <mergeCell ref="J759:J763"/>
    <mergeCell ref="K759:K763"/>
    <mergeCell ref="L759:L763"/>
    <mergeCell ref="M759:M763"/>
    <mergeCell ref="N759:N763"/>
    <mergeCell ref="O759:O763"/>
    <mergeCell ref="P759:P763"/>
    <mergeCell ref="Q759:Q763"/>
    <mergeCell ref="S759:T759"/>
    <mergeCell ref="V759:V763"/>
    <mergeCell ref="W759:W763"/>
    <mergeCell ref="X759:X763"/>
    <mergeCell ref="Y759:Y763"/>
    <mergeCell ref="Z759:Z763"/>
    <mergeCell ref="AA759:AA763"/>
    <mergeCell ref="AB759:AB763"/>
    <mergeCell ref="AC759:AC763"/>
    <mergeCell ref="AD759:AD763"/>
    <mergeCell ref="AE759:AE763"/>
    <mergeCell ref="AF759:AF763"/>
    <mergeCell ref="AG759:AG763"/>
    <mergeCell ref="S763:T763"/>
    <mergeCell ref="B764:B768"/>
    <mergeCell ref="C764:C768"/>
    <mergeCell ref="D764:D768"/>
    <mergeCell ref="E764:E768"/>
    <mergeCell ref="F764:F768"/>
    <mergeCell ref="G764:G768"/>
    <mergeCell ref="H764:H768"/>
    <mergeCell ref="I764:I768"/>
    <mergeCell ref="J764:J768"/>
    <mergeCell ref="K764:K768"/>
    <mergeCell ref="L764:L768"/>
    <mergeCell ref="M764:M768"/>
    <mergeCell ref="N764:N768"/>
    <mergeCell ref="O764:O768"/>
    <mergeCell ref="P764:P768"/>
    <mergeCell ref="Q764:Q768"/>
    <mergeCell ref="S764:T764"/>
    <mergeCell ref="V764:V768"/>
    <mergeCell ref="W764:W768"/>
    <mergeCell ref="X764:X768"/>
    <mergeCell ref="Y764:Y768"/>
    <mergeCell ref="Z764:Z768"/>
    <mergeCell ref="AA764:AA768"/>
    <mergeCell ref="AB764:AB768"/>
    <mergeCell ref="AC764:AC768"/>
    <mergeCell ref="AD764:AD768"/>
    <mergeCell ref="AE764:AE768"/>
    <mergeCell ref="AF764:AF768"/>
    <mergeCell ref="AG764:AG768"/>
    <mergeCell ref="S768:T768"/>
    <mergeCell ref="B769:B773"/>
    <mergeCell ref="C769:C773"/>
    <mergeCell ref="D769:D773"/>
    <mergeCell ref="E769:E773"/>
    <mergeCell ref="F769:F773"/>
    <mergeCell ref="H769:H773"/>
    <mergeCell ref="I769:I773"/>
    <mergeCell ref="J769:J773"/>
    <mergeCell ref="K769:K773"/>
    <mergeCell ref="L769:L773"/>
    <mergeCell ref="M769:M773"/>
    <mergeCell ref="N769:N773"/>
    <mergeCell ref="O769:O773"/>
    <mergeCell ref="P769:P773"/>
    <mergeCell ref="Q769:Q773"/>
    <mergeCell ref="S769:T769"/>
    <mergeCell ref="V769:V773"/>
    <mergeCell ref="W769:W773"/>
    <mergeCell ref="X769:X773"/>
    <mergeCell ref="Y769:Y773"/>
    <mergeCell ref="Z769:Z773"/>
    <mergeCell ref="AA769:AA773"/>
    <mergeCell ref="AB769:AB773"/>
    <mergeCell ref="AC769:AC773"/>
    <mergeCell ref="AD769:AD773"/>
    <mergeCell ref="AE769:AE773"/>
    <mergeCell ref="AF769:AF773"/>
    <mergeCell ref="AG769:AG773"/>
    <mergeCell ref="S773:T773"/>
    <mergeCell ref="B774:B778"/>
    <mergeCell ref="C774:C778"/>
    <mergeCell ref="D774:D778"/>
    <mergeCell ref="E774:E778"/>
    <mergeCell ref="F774:F778"/>
    <mergeCell ref="H774:H778"/>
    <mergeCell ref="I774:I778"/>
    <mergeCell ref="J774:J778"/>
    <mergeCell ref="K774:K778"/>
    <mergeCell ref="L774:L778"/>
    <mergeCell ref="M774:M778"/>
    <mergeCell ref="N774:N778"/>
    <mergeCell ref="O774:O778"/>
    <mergeCell ref="P774:P778"/>
    <mergeCell ref="Q774:Q778"/>
    <mergeCell ref="S774:T774"/>
    <mergeCell ref="V774:V778"/>
    <mergeCell ref="W774:W778"/>
    <mergeCell ref="X774:X778"/>
    <mergeCell ref="Y774:Y778"/>
    <mergeCell ref="Z774:Z778"/>
    <mergeCell ref="AA774:AA778"/>
    <mergeCell ref="AB774:AB778"/>
    <mergeCell ref="AC774:AC778"/>
    <mergeCell ref="AD774:AD778"/>
    <mergeCell ref="AE774:AE778"/>
    <mergeCell ref="AF774:AF778"/>
    <mergeCell ref="AG774:AG778"/>
    <mergeCell ref="S778:T778"/>
    <mergeCell ref="B781:B785"/>
    <mergeCell ref="C781:C785"/>
    <mergeCell ref="D781:D785"/>
    <mergeCell ref="E781:E785"/>
    <mergeCell ref="F781:F785"/>
    <mergeCell ref="G781:G785"/>
    <mergeCell ref="H781:H785"/>
    <mergeCell ref="I781:I785"/>
    <mergeCell ref="J781:J785"/>
    <mergeCell ref="K781:K785"/>
    <mergeCell ref="L781:L785"/>
    <mergeCell ref="M781:M785"/>
    <mergeCell ref="N781:N785"/>
    <mergeCell ref="O781:O785"/>
    <mergeCell ref="P781:P785"/>
    <mergeCell ref="Q781:Q785"/>
    <mergeCell ref="S781:T781"/>
    <mergeCell ref="V781:V785"/>
    <mergeCell ref="W781:W785"/>
    <mergeCell ref="X781:X785"/>
    <mergeCell ref="Y781:Y785"/>
    <mergeCell ref="Z781:Z785"/>
    <mergeCell ref="AA781:AA785"/>
    <mergeCell ref="AB781:AB785"/>
    <mergeCell ref="AC781:AC785"/>
    <mergeCell ref="AD781:AD785"/>
    <mergeCell ref="AE781:AE785"/>
    <mergeCell ref="AF781:AF785"/>
    <mergeCell ref="AG781:AG785"/>
    <mergeCell ref="S785:T785"/>
    <mergeCell ref="B786:B790"/>
    <mergeCell ref="C786:C790"/>
    <mergeCell ref="D786:D790"/>
    <mergeCell ref="E786:E790"/>
    <mergeCell ref="F786:F790"/>
    <mergeCell ref="G786:G790"/>
    <mergeCell ref="H786:H790"/>
    <mergeCell ref="I786:I790"/>
    <mergeCell ref="J786:J790"/>
    <mergeCell ref="K786:K790"/>
    <mergeCell ref="L786:L790"/>
    <mergeCell ref="M786:M790"/>
    <mergeCell ref="N786:N790"/>
    <mergeCell ref="O786:O790"/>
    <mergeCell ref="P786:P790"/>
    <mergeCell ref="Q786:Q790"/>
    <mergeCell ref="S786:T786"/>
    <mergeCell ref="V786:V790"/>
    <mergeCell ref="W786:W790"/>
    <mergeCell ref="X786:X790"/>
    <mergeCell ref="Y786:Y790"/>
    <mergeCell ref="Z786:Z790"/>
    <mergeCell ref="AA786:AA790"/>
    <mergeCell ref="AB786:AB790"/>
    <mergeCell ref="AC786:AC790"/>
    <mergeCell ref="AD786:AD790"/>
    <mergeCell ref="AE786:AE790"/>
    <mergeCell ref="AF786:AF790"/>
    <mergeCell ref="AG786:AG790"/>
    <mergeCell ref="S790:T790"/>
    <mergeCell ref="B791:B795"/>
    <mergeCell ref="C791:C795"/>
    <mergeCell ref="D791:D795"/>
    <mergeCell ref="E791:E795"/>
    <mergeCell ref="F791:F795"/>
    <mergeCell ref="H791:H795"/>
    <mergeCell ref="I791:I795"/>
    <mergeCell ref="J791:J795"/>
    <mergeCell ref="K791:K795"/>
    <mergeCell ref="L791:L795"/>
    <mergeCell ref="M791:M795"/>
    <mergeCell ref="N791:N795"/>
    <mergeCell ref="O791:O795"/>
    <mergeCell ref="P791:P795"/>
    <mergeCell ref="Q791:Q795"/>
    <mergeCell ref="S791:T791"/>
    <mergeCell ref="V791:V795"/>
    <mergeCell ref="W791:W795"/>
    <mergeCell ref="X791:X795"/>
    <mergeCell ref="Y791:Y795"/>
    <mergeCell ref="Z791:Z795"/>
    <mergeCell ref="AA791:AA795"/>
    <mergeCell ref="AB791:AB795"/>
    <mergeCell ref="AC791:AC795"/>
    <mergeCell ref="AD791:AD795"/>
    <mergeCell ref="AE791:AE795"/>
    <mergeCell ref="AF791:AF795"/>
    <mergeCell ref="AG791:AG795"/>
    <mergeCell ref="S795:T795"/>
    <mergeCell ref="B796:B800"/>
    <mergeCell ref="C796:C800"/>
    <mergeCell ref="D796:D800"/>
    <mergeCell ref="E796:E800"/>
    <mergeCell ref="F796:F800"/>
    <mergeCell ref="H796:H800"/>
    <mergeCell ref="I796:I800"/>
    <mergeCell ref="J796:J800"/>
    <mergeCell ref="K796:K800"/>
    <mergeCell ref="L796:L800"/>
    <mergeCell ref="M796:M800"/>
    <mergeCell ref="N796:N800"/>
    <mergeCell ref="O796:O800"/>
    <mergeCell ref="P796:P800"/>
    <mergeCell ref="Q796:Q800"/>
    <mergeCell ref="S796:T796"/>
    <mergeCell ref="V796:V800"/>
    <mergeCell ref="W796:W800"/>
    <mergeCell ref="X796:X800"/>
    <mergeCell ref="Y796:Y800"/>
    <mergeCell ref="Z796:Z800"/>
    <mergeCell ref="AA796:AA800"/>
    <mergeCell ref="AB796:AB800"/>
    <mergeCell ref="AC796:AC800"/>
    <mergeCell ref="AD796:AD800"/>
    <mergeCell ref="AE796:AE800"/>
    <mergeCell ref="AF796:AF800"/>
    <mergeCell ref="AG796:AG800"/>
    <mergeCell ref="S800:T800"/>
    <mergeCell ref="B803:B807"/>
    <mergeCell ref="C803:C807"/>
    <mergeCell ref="D803:D807"/>
    <mergeCell ref="E803:E807"/>
    <mergeCell ref="F803:F807"/>
    <mergeCell ref="G803:G807"/>
    <mergeCell ref="H803:H807"/>
    <mergeCell ref="I803:I807"/>
    <mergeCell ref="J803:J807"/>
    <mergeCell ref="K803:K807"/>
    <mergeCell ref="L803:L807"/>
    <mergeCell ref="M803:M807"/>
    <mergeCell ref="N803:N807"/>
    <mergeCell ref="O803:O807"/>
    <mergeCell ref="P803:P807"/>
    <mergeCell ref="Q803:Q807"/>
    <mergeCell ref="S803:T803"/>
    <mergeCell ref="V803:V807"/>
    <mergeCell ref="W803:W807"/>
    <mergeCell ref="X803:X807"/>
    <mergeCell ref="Y803:Y807"/>
    <mergeCell ref="Z803:Z807"/>
    <mergeCell ref="AA803:AA807"/>
    <mergeCell ref="AB803:AB807"/>
    <mergeCell ref="AC803:AC807"/>
    <mergeCell ref="AD803:AD807"/>
    <mergeCell ref="AE803:AE807"/>
    <mergeCell ref="AF803:AF807"/>
    <mergeCell ref="AG803:AG807"/>
    <mergeCell ref="S807:T807"/>
    <mergeCell ref="B808:B812"/>
    <mergeCell ref="C808:C812"/>
    <mergeCell ref="D808:D812"/>
    <mergeCell ref="E808:E812"/>
    <mergeCell ref="F808:F812"/>
    <mergeCell ref="G808:G812"/>
    <mergeCell ref="H808:H812"/>
    <mergeCell ref="I808:I812"/>
    <mergeCell ref="J808:J812"/>
    <mergeCell ref="K808:K812"/>
    <mergeCell ref="L808:L812"/>
    <mergeCell ref="M808:M812"/>
    <mergeCell ref="N808:N812"/>
    <mergeCell ref="O808:O812"/>
    <mergeCell ref="P808:P812"/>
    <mergeCell ref="Q808:Q812"/>
    <mergeCell ref="S808:T808"/>
    <mergeCell ref="V808:V812"/>
    <mergeCell ref="W808:W812"/>
    <mergeCell ref="X808:X812"/>
    <mergeCell ref="Y808:Y812"/>
    <mergeCell ref="Z808:Z812"/>
    <mergeCell ref="AA808:AA812"/>
    <mergeCell ref="AB808:AB812"/>
    <mergeCell ref="AC808:AC812"/>
    <mergeCell ref="AD808:AD812"/>
    <mergeCell ref="AE808:AE812"/>
    <mergeCell ref="AF808:AF812"/>
    <mergeCell ref="AG808:AG812"/>
    <mergeCell ref="S812:T812"/>
    <mergeCell ref="B813:B817"/>
    <mergeCell ref="C813:C817"/>
    <mergeCell ref="D813:D817"/>
    <mergeCell ref="E813:E817"/>
    <mergeCell ref="F813:F817"/>
    <mergeCell ref="H813:H817"/>
    <mergeCell ref="I813:I817"/>
    <mergeCell ref="J813:J817"/>
    <mergeCell ref="K813:K817"/>
    <mergeCell ref="L813:L817"/>
    <mergeCell ref="M813:M817"/>
    <mergeCell ref="N813:N817"/>
    <mergeCell ref="O813:O817"/>
    <mergeCell ref="P813:P817"/>
    <mergeCell ref="Q813:Q817"/>
    <mergeCell ref="S813:T813"/>
    <mergeCell ref="V813:V817"/>
    <mergeCell ref="W813:W817"/>
    <mergeCell ref="X813:X817"/>
    <mergeCell ref="Y813:Y817"/>
    <mergeCell ref="Z813:Z817"/>
    <mergeCell ref="AA813:AA817"/>
    <mergeCell ref="AB813:AB817"/>
    <mergeCell ref="AC813:AC817"/>
    <mergeCell ref="AD813:AD817"/>
    <mergeCell ref="AE813:AE817"/>
    <mergeCell ref="AF813:AF817"/>
    <mergeCell ref="AG813:AG817"/>
    <mergeCell ref="S817:T817"/>
    <mergeCell ref="B818:B822"/>
    <mergeCell ref="C818:C822"/>
    <mergeCell ref="D818:D822"/>
    <mergeCell ref="E818:E822"/>
    <mergeCell ref="F818:F822"/>
    <mergeCell ref="H818:H822"/>
    <mergeCell ref="I818:I822"/>
    <mergeCell ref="J818:J822"/>
    <mergeCell ref="K818:K822"/>
    <mergeCell ref="L818:L822"/>
    <mergeCell ref="M818:M822"/>
    <mergeCell ref="N818:N822"/>
    <mergeCell ref="O818:O822"/>
    <mergeCell ref="P818:P822"/>
    <mergeCell ref="Q818:Q822"/>
    <mergeCell ref="S818:T818"/>
    <mergeCell ref="V818:V822"/>
    <mergeCell ref="W818:W822"/>
    <mergeCell ref="X818:X822"/>
    <mergeCell ref="Y818:Y822"/>
    <mergeCell ref="Z818:Z822"/>
    <mergeCell ref="AA818:AA822"/>
    <mergeCell ref="AB818:AB822"/>
    <mergeCell ref="AC818:AC822"/>
    <mergeCell ref="AD818:AD822"/>
    <mergeCell ref="AE818:AE822"/>
    <mergeCell ref="AF818:AF822"/>
    <mergeCell ref="AG818:AG822"/>
    <mergeCell ref="S822:T822"/>
    <mergeCell ref="B825:B829"/>
    <mergeCell ref="C825:C829"/>
    <mergeCell ref="D825:D829"/>
    <mergeCell ref="E825:E829"/>
    <mergeCell ref="F825:F829"/>
    <mergeCell ref="G825:G829"/>
    <mergeCell ref="H825:H829"/>
    <mergeCell ref="I825:I829"/>
    <mergeCell ref="J825:J829"/>
    <mergeCell ref="K825:K829"/>
    <mergeCell ref="L825:L829"/>
    <mergeCell ref="M825:M829"/>
    <mergeCell ref="N825:N829"/>
    <mergeCell ref="O825:O829"/>
    <mergeCell ref="P825:P829"/>
    <mergeCell ref="Q825:Q829"/>
    <mergeCell ref="S825:T825"/>
    <mergeCell ref="V825:V829"/>
    <mergeCell ref="W825:W829"/>
    <mergeCell ref="X825:X829"/>
    <mergeCell ref="Y825:Y829"/>
    <mergeCell ref="Z825:Z829"/>
    <mergeCell ref="AA825:AA829"/>
    <mergeCell ref="AB825:AB829"/>
    <mergeCell ref="AC825:AC829"/>
    <mergeCell ref="AD825:AD829"/>
    <mergeCell ref="AE825:AE829"/>
    <mergeCell ref="AF825:AF829"/>
    <mergeCell ref="AG825:AG829"/>
    <mergeCell ref="S829:T829"/>
    <mergeCell ref="B830:B834"/>
    <mergeCell ref="C830:C834"/>
    <mergeCell ref="D830:D834"/>
    <mergeCell ref="E830:E834"/>
    <mergeCell ref="F830:F834"/>
    <mergeCell ref="G830:G834"/>
    <mergeCell ref="H830:H834"/>
    <mergeCell ref="I830:I834"/>
    <mergeCell ref="J830:J834"/>
    <mergeCell ref="K830:K834"/>
    <mergeCell ref="L830:L834"/>
    <mergeCell ref="M830:M834"/>
    <mergeCell ref="N830:N834"/>
    <mergeCell ref="O830:O834"/>
    <mergeCell ref="P830:P834"/>
    <mergeCell ref="Q830:Q834"/>
    <mergeCell ref="S830:T830"/>
    <mergeCell ref="V830:V834"/>
    <mergeCell ref="W830:W834"/>
    <mergeCell ref="X830:X834"/>
    <mergeCell ref="Y830:Y834"/>
    <mergeCell ref="Z830:Z834"/>
    <mergeCell ref="AA830:AA834"/>
    <mergeCell ref="AB830:AB834"/>
    <mergeCell ref="AC830:AC834"/>
    <mergeCell ref="AD830:AD834"/>
    <mergeCell ref="AE830:AE834"/>
    <mergeCell ref="AF830:AF834"/>
    <mergeCell ref="AG830:AG834"/>
    <mergeCell ref="S834:T834"/>
    <mergeCell ref="B835:B839"/>
    <mergeCell ref="C835:C839"/>
    <mergeCell ref="D835:D839"/>
    <mergeCell ref="E835:E839"/>
    <mergeCell ref="F835:F839"/>
    <mergeCell ref="H835:H839"/>
    <mergeCell ref="I835:I839"/>
    <mergeCell ref="J835:J839"/>
    <mergeCell ref="K835:K839"/>
    <mergeCell ref="L835:L839"/>
    <mergeCell ref="M835:M839"/>
    <mergeCell ref="N835:N839"/>
    <mergeCell ref="O835:O839"/>
    <mergeCell ref="P835:P839"/>
    <mergeCell ref="Q835:Q839"/>
    <mergeCell ref="S835:T835"/>
    <mergeCell ref="V835:V839"/>
    <mergeCell ref="W835:W839"/>
    <mergeCell ref="X835:X839"/>
    <mergeCell ref="Y835:Y839"/>
    <mergeCell ref="Z835:Z839"/>
    <mergeCell ref="AA835:AA839"/>
    <mergeCell ref="AB835:AB839"/>
    <mergeCell ref="AC835:AC839"/>
    <mergeCell ref="AD835:AD839"/>
    <mergeCell ref="AE835:AE839"/>
    <mergeCell ref="AF835:AF839"/>
    <mergeCell ref="AG835:AG839"/>
    <mergeCell ref="S839:T839"/>
    <mergeCell ref="B840:B844"/>
    <mergeCell ref="C840:C844"/>
    <mergeCell ref="D840:D844"/>
    <mergeCell ref="E840:E844"/>
    <mergeCell ref="F840:F844"/>
    <mergeCell ref="H840:H844"/>
    <mergeCell ref="I840:I844"/>
    <mergeCell ref="J840:J844"/>
    <mergeCell ref="K840:K844"/>
    <mergeCell ref="L840:L844"/>
    <mergeCell ref="M840:M844"/>
    <mergeCell ref="N840:N844"/>
    <mergeCell ref="O840:O844"/>
    <mergeCell ref="P840:P844"/>
    <mergeCell ref="Q840:Q844"/>
    <mergeCell ref="S840:T840"/>
    <mergeCell ref="V840:V844"/>
    <mergeCell ref="W840:W844"/>
    <mergeCell ref="X840:X844"/>
    <mergeCell ref="Y840:Y844"/>
    <mergeCell ref="Z840:Z844"/>
    <mergeCell ref="AA840:AA844"/>
    <mergeCell ref="AB840:AB844"/>
    <mergeCell ref="AC840:AC844"/>
    <mergeCell ref="AD840:AD844"/>
    <mergeCell ref="AE840:AE844"/>
    <mergeCell ref="AF840:AF844"/>
    <mergeCell ref="AG840:AG844"/>
    <mergeCell ref="S844:T844"/>
    <mergeCell ref="B847:B851"/>
    <mergeCell ref="C847:C851"/>
    <mergeCell ref="D847:D851"/>
    <mergeCell ref="E847:E851"/>
    <mergeCell ref="F847:F851"/>
    <mergeCell ref="G847:G851"/>
    <mergeCell ref="H847:H851"/>
    <mergeCell ref="I847:I851"/>
    <mergeCell ref="J847:J851"/>
    <mergeCell ref="K847:K851"/>
    <mergeCell ref="L847:L851"/>
    <mergeCell ref="M847:M851"/>
    <mergeCell ref="N847:N851"/>
    <mergeCell ref="O847:O851"/>
    <mergeCell ref="P847:P851"/>
    <mergeCell ref="Q847:Q851"/>
    <mergeCell ref="S847:T847"/>
    <mergeCell ref="V847:V851"/>
    <mergeCell ref="W847:W851"/>
    <mergeCell ref="X847:X851"/>
    <mergeCell ref="Y847:Y851"/>
    <mergeCell ref="Z847:Z851"/>
    <mergeCell ref="AA847:AA851"/>
    <mergeCell ref="AB847:AB851"/>
    <mergeCell ref="AC847:AC851"/>
    <mergeCell ref="AD847:AD851"/>
    <mergeCell ref="AE847:AE851"/>
    <mergeCell ref="AF847:AF851"/>
    <mergeCell ref="AG847:AG851"/>
    <mergeCell ref="S851:T851"/>
    <mergeCell ref="B852:B856"/>
    <mergeCell ref="C852:C856"/>
    <mergeCell ref="D852:D856"/>
    <mergeCell ref="E852:E856"/>
    <mergeCell ref="F852:F856"/>
    <mergeCell ref="G852:G856"/>
    <mergeCell ref="H852:H856"/>
    <mergeCell ref="I852:I856"/>
    <mergeCell ref="J852:J856"/>
    <mergeCell ref="K852:K856"/>
    <mergeCell ref="L852:L856"/>
    <mergeCell ref="M852:M856"/>
    <mergeCell ref="N852:N856"/>
    <mergeCell ref="O852:O856"/>
    <mergeCell ref="P852:P856"/>
    <mergeCell ref="Q852:Q856"/>
    <mergeCell ref="S852:T852"/>
    <mergeCell ref="V852:V856"/>
    <mergeCell ref="W852:W856"/>
    <mergeCell ref="X852:X856"/>
    <mergeCell ref="Y852:Y856"/>
    <mergeCell ref="Z852:Z856"/>
    <mergeCell ref="AA852:AA856"/>
    <mergeCell ref="AB852:AB856"/>
    <mergeCell ref="AC852:AC856"/>
    <mergeCell ref="AD852:AD856"/>
    <mergeCell ref="AE852:AE856"/>
    <mergeCell ref="AF852:AF856"/>
    <mergeCell ref="AG852:AG856"/>
    <mergeCell ref="S856:T856"/>
    <mergeCell ref="B857:B861"/>
    <mergeCell ref="C857:C861"/>
    <mergeCell ref="D857:D861"/>
    <mergeCell ref="E857:E861"/>
    <mergeCell ref="F857:F861"/>
    <mergeCell ref="H857:H861"/>
    <mergeCell ref="I857:I861"/>
    <mergeCell ref="J857:J861"/>
    <mergeCell ref="K857:K861"/>
    <mergeCell ref="L857:L861"/>
    <mergeCell ref="M857:M861"/>
    <mergeCell ref="N857:N861"/>
    <mergeCell ref="O857:O861"/>
    <mergeCell ref="P857:P861"/>
    <mergeCell ref="Q857:Q861"/>
    <mergeCell ref="S857:T857"/>
    <mergeCell ref="V857:V861"/>
    <mergeCell ref="W857:W861"/>
    <mergeCell ref="X857:X861"/>
    <mergeCell ref="Y857:Y861"/>
    <mergeCell ref="Z857:Z861"/>
    <mergeCell ref="AA857:AA861"/>
    <mergeCell ref="AB857:AB861"/>
    <mergeCell ref="AC857:AC861"/>
    <mergeCell ref="AD857:AD861"/>
    <mergeCell ref="AE857:AE861"/>
    <mergeCell ref="AF857:AF861"/>
    <mergeCell ref="AG857:AG861"/>
    <mergeCell ref="S861:T861"/>
    <mergeCell ref="B862:B866"/>
    <mergeCell ref="C862:C866"/>
    <mergeCell ref="D862:D866"/>
    <mergeCell ref="E862:E866"/>
    <mergeCell ref="F862:F866"/>
    <mergeCell ref="H862:H866"/>
    <mergeCell ref="I862:I866"/>
    <mergeCell ref="J862:J866"/>
    <mergeCell ref="K862:K866"/>
    <mergeCell ref="L862:L866"/>
    <mergeCell ref="M862:M866"/>
    <mergeCell ref="N862:N866"/>
    <mergeCell ref="O862:O866"/>
    <mergeCell ref="P862:P866"/>
    <mergeCell ref="Q862:Q866"/>
    <mergeCell ref="S862:T862"/>
    <mergeCell ref="V862:V866"/>
    <mergeCell ref="W862:W866"/>
    <mergeCell ref="X862:X866"/>
    <mergeCell ref="Y862:Y866"/>
    <mergeCell ref="Z862:Z866"/>
    <mergeCell ref="AA862:AA866"/>
    <mergeCell ref="AB862:AB866"/>
    <mergeCell ref="AC862:AC866"/>
    <mergeCell ref="AD862:AD866"/>
    <mergeCell ref="AE862:AE866"/>
    <mergeCell ref="AF862:AF866"/>
    <mergeCell ref="AG862:AG866"/>
    <mergeCell ref="S866:T866"/>
    <mergeCell ref="B869:B873"/>
    <mergeCell ref="C869:C873"/>
    <mergeCell ref="D869:D873"/>
    <mergeCell ref="E869:E873"/>
    <mergeCell ref="F869:F873"/>
    <mergeCell ref="G869:G873"/>
    <mergeCell ref="H869:H873"/>
    <mergeCell ref="I869:I873"/>
    <mergeCell ref="J869:J873"/>
    <mergeCell ref="K869:K873"/>
    <mergeCell ref="L869:L873"/>
    <mergeCell ref="M869:M873"/>
    <mergeCell ref="N869:N873"/>
    <mergeCell ref="O869:O873"/>
    <mergeCell ref="P869:P873"/>
    <mergeCell ref="Q869:Q873"/>
    <mergeCell ref="S869:T869"/>
    <mergeCell ref="V869:V873"/>
    <mergeCell ref="W869:W873"/>
    <mergeCell ref="X869:X873"/>
    <mergeCell ref="Y869:Y873"/>
    <mergeCell ref="Z869:Z873"/>
    <mergeCell ref="AA869:AA873"/>
    <mergeCell ref="AB869:AB873"/>
    <mergeCell ref="AC869:AC873"/>
    <mergeCell ref="AD869:AD873"/>
    <mergeCell ref="AE869:AE873"/>
    <mergeCell ref="AF869:AF873"/>
    <mergeCell ref="AG869:AG873"/>
    <mergeCell ref="S873:T873"/>
    <mergeCell ref="B874:B878"/>
    <mergeCell ref="C874:C878"/>
    <mergeCell ref="D874:D878"/>
    <mergeCell ref="E874:E878"/>
    <mergeCell ref="F874:F878"/>
    <mergeCell ref="G874:G878"/>
    <mergeCell ref="H874:H878"/>
    <mergeCell ref="I874:I878"/>
    <mergeCell ref="J874:J878"/>
    <mergeCell ref="K874:K878"/>
    <mergeCell ref="L874:L878"/>
    <mergeCell ref="M874:M878"/>
    <mergeCell ref="N874:N878"/>
    <mergeCell ref="O874:O878"/>
    <mergeCell ref="P874:P878"/>
    <mergeCell ref="Q874:Q878"/>
    <mergeCell ref="S874:T874"/>
    <mergeCell ref="V874:V878"/>
    <mergeCell ref="W874:W878"/>
    <mergeCell ref="X874:X878"/>
    <mergeCell ref="Y874:Y878"/>
    <mergeCell ref="Z874:Z878"/>
    <mergeCell ref="AA874:AA878"/>
    <mergeCell ref="AB874:AB878"/>
    <mergeCell ref="AC874:AC878"/>
    <mergeCell ref="AD874:AD878"/>
    <mergeCell ref="AE874:AE878"/>
    <mergeCell ref="AF874:AF878"/>
    <mergeCell ref="AG874:AG878"/>
    <mergeCell ref="S878:T878"/>
    <mergeCell ref="B879:B883"/>
    <mergeCell ref="C879:C883"/>
    <mergeCell ref="D879:D883"/>
    <mergeCell ref="E879:E883"/>
    <mergeCell ref="F879:F883"/>
    <mergeCell ref="H879:H883"/>
    <mergeCell ref="I879:I883"/>
    <mergeCell ref="J879:J883"/>
    <mergeCell ref="K879:K883"/>
    <mergeCell ref="L879:L883"/>
    <mergeCell ref="M879:M883"/>
    <mergeCell ref="N879:N883"/>
    <mergeCell ref="O879:O883"/>
    <mergeCell ref="P879:P883"/>
    <mergeCell ref="Q879:Q883"/>
    <mergeCell ref="S879:T879"/>
    <mergeCell ref="V879:V883"/>
    <mergeCell ref="W879:W883"/>
    <mergeCell ref="X879:X883"/>
    <mergeCell ref="Y879:Y883"/>
    <mergeCell ref="Z879:Z883"/>
    <mergeCell ref="AA879:AA883"/>
    <mergeCell ref="AB879:AB883"/>
    <mergeCell ref="AC879:AC883"/>
    <mergeCell ref="AD879:AD883"/>
    <mergeCell ref="AE879:AE883"/>
    <mergeCell ref="AF879:AF883"/>
    <mergeCell ref="AG879:AG883"/>
    <mergeCell ref="S883:T883"/>
    <mergeCell ref="B884:B888"/>
    <mergeCell ref="C884:C888"/>
    <mergeCell ref="D884:D888"/>
    <mergeCell ref="E884:E888"/>
    <mergeCell ref="F884:F888"/>
    <mergeCell ref="H884:H888"/>
    <mergeCell ref="I884:I888"/>
    <mergeCell ref="J884:J888"/>
    <mergeCell ref="K884:K888"/>
    <mergeCell ref="L884:L888"/>
    <mergeCell ref="M884:M888"/>
    <mergeCell ref="N884:N888"/>
    <mergeCell ref="O884:O888"/>
    <mergeCell ref="P884:P888"/>
    <mergeCell ref="Q884:Q888"/>
    <mergeCell ref="S884:T884"/>
    <mergeCell ref="V884:V888"/>
    <mergeCell ref="W884:W888"/>
    <mergeCell ref="X884:X888"/>
    <mergeCell ref="Y884:Y888"/>
    <mergeCell ref="Z884:Z888"/>
    <mergeCell ref="AA884:AA888"/>
    <mergeCell ref="AB884:AB888"/>
    <mergeCell ref="AC884:AC888"/>
    <mergeCell ref="AD884:AD888"/>
    <mergeCell ref="AE884:AE888"/>
    <mergeCell ref="AF884:AF888"/>
    <mergeCell ref="AG884:AG888"/>
    <mergeCell ref="S888:T888"/>
    <mergeCell ref="B891:B895"/>
    <mergeCell ref="C891:C895"/>
    <mergeCell ref="D891:D895"/>
    <mergeCell ref="E891:E895"/>
    <mergeCell ref="F891:F895"/>
    <mergeCell ref="G891:G895"/>
    <mergeCell ref="H891:H895"/>
    <mergeCell ref="I891:I895"/>
    <mergeCell ref="J891:J895"/>
    <mergeCell ref="K891:K895"/>
    <mergeCell ref="L891:L895"/>
    <mergeCell ref="M891:M895"/>
    <mergeCell ref="N891:N895"/>
    <mergeCell ref="O891:O895"/>
    <mergeCell ref="P891:P895"/>
    <mergeCell ref="Q891:Q895"/>
    <mergeCell ref="S891:T891"/>
    <mergeCell ref="V891:V895"/>
    <mergeCell ref="W891:W895"/>
    <mergeCell ref="X891:X895"/>
    <mergeCell ref="Y891:Y895"/>
    <mergeCell ref="Z891:Z895"/>
    <mergeCell ref="AA891:AA895"/>
    <mergeCell ref="AB891:AB895"/>
    <mergeCell ref="AC891:AC895"/>
    <mergeCell ref="AD891:AD895"/>
    <mergeCell ref="AE891:AE895"/>
    <mergeCell ref="AF891:AF895"/>
    <mergeCell ref="AG891:AG895"/>
    <mergeCell ref="S895:T895"/>
    <mergeCell ref="B896:B900"/>
    <mergeCell ref="C896:C900"/>
    <mergeCell ref="D896:D900"/>
    <mergeCell ref="E896:E900"/>
    <mergeCell ref="F896:F900"/>
    <mergeCell ref="G896:G900"/>
    <mergeCell ref="H896:H900"/>
    <mergeCell ref="I896:I900"/>
    <mergeCell ref="J896:J900"/>
    <mergeCell ref="K896:K900"/>
    <mergeCell ref="L896:L900"/>
    <mergeCell ref="M896:M900"/>
    <mergeCell ref="N896:N900"/>
    <mergeCell ref="O896:O900"/>
    <mergeCell ref="P896:P900"/>
    <mergeCell ref="Q896:Q900"/>
    <mergeCell ref="S896:T896"/>
    <mergeCell ref="V896:V900"/>
    <mergeCell ref="W896:W900"/>
    <mergeCell ref="X896:X900"/>
    <mergeCell ref="Y896:Y900"/>
    <mergeCell ref="Z896:Z900"/>
    <mergeCell ref="AA896:AA900"/>
    <mergeCell ref="AB896:AB900"/>
    <mergeCell ref="AC896:AC900"/>
    <mergeCell ref="AD896:AD900"/>
    <mergeCell ref="AE896:AE900"/>
    <mergeCell ref="AF896:AF900"/>
    <mergeCell ref="AG896:AG900"/>
    <mergeCell ref="S900:T900"/>
    <mergeCell ref="B901:B905"/>
    <mergeCell ref="C901:C905"/>
    <mergeCell ref="D901:D905"/>
    <mergeCell ref="E901:E905"/>
    <mergeCell ref="F901:F905"/>
    <mergeCell ref="H901:H905"/>
    <mergeCell ref="I901:I905"/>
    <mergeCell ref="J901:J905"/>
    <mergeCell ref="K901:K905"/>
    <mergeCell ref="L901:L905"/>
    <mergeCell ref="M901:M905"/>
    <mergeCell ref="N901:N905"/>
    <mergeCell ref="O901:O905"/>
    <mergeCell ref="P901:P905"/>
    <mergeCell ref="Q901:Q905"/>
    <mergeCell ref="S901:T901"/>
    <mergeCell ref="V901:V905"/>
    <mergeCell ref="W901:W905"/>
    <mergeCell ref="X901:X905"/>
    <mergeCell ref="Y901:Y905"/>
    <mergeCell ref="Z901:Z905"/>
    <mergeCell ref="AA901:AA905"/>
    <mergeCell ref="AB901:AB905"/>
    <mergeCell ref="AC901:AC905"/>
    <mergeCell ref="AD901:AD905"/>
    <mergeCell ref="AE901:AE905"/>
    <mergeCell ref="AF901:AF905"/>
    <mergeCell ref="AG901:AG905"/>
    <mergeCell ref="S905:T905"/>
    <mergeCell ref="B906:B910"/>
    <mergeCell ref="C906:C910"/>
    <mergeCell ref="D906:D910"/>
    <mergeCell ref="E906:E910"/>
    <mergeCell ref="F906:F910"/>
    <mergeCell ref="H906:H910"/>
    <mergeCell ref="I906:I910"/>
    <mergeCell ref="J906:J910"/>
    <mergeCell ref="K906:K910"/>
    <mergeCell ref="L906:L910"/>
    <mergeCell ref="M906:M910"/>
    <mergeCell ref="N906:N910"/>
    <mergeCell ref="O906:O910"/>
    <mergeCell ref="P906:P910"/>
    <mergeCell ref="Q906:Q910"/>
    <mergeCell ref="S906:T906"/>
    <mergeCell ref="V906:V910"/>
    <mergeCell ref="W906:W910"/>
    <mergeCell ref="X906:X910"/>
    <mergeCell ref="Y906:Y910"/>
    <mergeCell ref="Z906:Z910"/>
    <mergeCell ref="AA906:AA910"/>
    <mergeCell ref="AB906:AB910"/>
    <mergeCell ref="AC906:AC910"/>
    <mergeCell ref="AD906:AD910"/>
    <mergeCell ref="AE906:AE910"/>
    <mergeCell ref="AF906:AF910"/>
    <mergeCell ref="AG906:AG910"/>
    <mergeCell ref="S910:T910"/>
    <mergeCell ref="B913:B917"/>
    <mergeCell ref="C913:C917"/>
    <mergeCell ref="D913:D917"/>
    <mergeCell ref="E913:E917"/>
    <mergeCell ref="F913:F917"/>
    <mergeCell ref="G913:G917"/>
    <mergeCell ref="H913:H917"/>
    <mergeCell ref="I913:I917"/>
    <mergeCell ref="J913:J917"/>
    <mergeCell ref="K913:K917"/>
    <mergeCell ref="L913:L917"/>
    <mergeCell ref="M913:M917"/>
    <mergeCell ref="N913:N917"/>
    <mergeCell ref="O913:O917"/>
    <mergeCell ref="P913:P917"/>
    <mergeCell ref="Q913:Q917"/>
    <mergeCell ref="S913:T913"/>
    <mergeCell ref="V913:V917"/>
    <mergeCell ref="W913:W917"/>
    <mergeCell ref="X913:X917"/>
    <mergeCell ref="Y913:Y917"/>
    <mergeCell ref="Z913:Z917"/>
    <mergeCell ref="AA913:AA917"/>
    <mergeCell ref="AB913:AB917"/>
    <mergeCell ref="AC913:AC917"/>
    <mergeCell ref="AD913:AD917"/>
    <mergeCell ref="AE913:AE917"/>
    <mergeCell ref="AF913:AF917"/>
    <mergeCell ref="AG913:AG917"/>
    <mergeCell ref="S917:T917"/>
    <mergeCell ref="B918:B922"/>
    <mergeCell ref="C918:C922"/>
    <mergeCell ref="D918:D922"/>
    <mergeCell ref="E918:E922"/>
    <mergeCell ref="F918:F922"/>
    <mergeCell ref="G918:G922"/>
    <mergeCell ref="H918:H922"/>
    <mergeCell ref="I918:I922"/>
    <mergeCell ref="J918:J922"/>
    <mergeCell ref="K918:K922"/>
    <mergeCell ref="L918:L922"/>
    <mergeCell ref="M918:M922"/>
    <mergeCell ref="N918:N922"/>
    <mergeCell ref="O918:O922"/>
    <mergeCell ref="P918:P922"/>
    <mergeCell ref="Q918:Q922"/>
    <mergeCell ref="S918:T918"/>
    <mergeCell ref="V918:V922"/>
    <mergeCell ref="W918:W922"/>
    <mergeCell ref="X918:X922"/>
    <mergeCell ref="Y918:Y922"/>
    <mergeCell ref="Z918:Z922"/>
    <mergeCell ref="AA918:AA922"/>
    <mergeCell ref="AB918:AB922"/>
    <mergeCell ref="AC918:AC922"/>
    <mergeCell ref="AD918:AD922"/>
    <mergeCell ref="AE918:AE922"/>
    <mergeCell ref="AF918:AF922"/>
    <mergeCell ref="AG918:AG922"/>
    <mergeCell ref="S922:T922"/>
    <mergeCell ref="B923:B927"/>
    <mergeCell ref="C923:C927"/>
    <mergeCell ref="D923:D927"/>
    <mergeCell ref="E923:E927"/>
    <mergeCell ref="F923:F927"/>
    <mergeCell ref="H923:H927"/>
    <mergeCell ref="I923:I927"/>
    <mergeCell ref="J923:J927"/>
    <mergeCell ref="K923:K927"/>
    <mergeCell ref="L923:L927"/>
    <mergeCell ref="M923:M927"/>
    <mergeCell ref="N923:N927"/>
    <mergeCell ref="O923:O927"/>
    <mergeCell ref="P923:P927"/>
    <mergeCell ref="Q923:Q927"/>
    <mergeCell ref="S923:T923"/>
    <mergeCell ref="V923:V927"/>
    <mergeCell ref="W923:W927"/>
    <mergeCell ref="X923:X927"/>
    <mergeCell ref="Y923:Y927"/>
    <mergeCell ref="Z923:Z927"/>
    <mergeCell ref="AA923:AA927"/>
    <mergeCell ref="AB923:AB927"/>
    <mergeCell ref="AC923:AC927"/>
    <mergeCell ref="AD923:AD927"/>
    <mergeCell ref="AE923:AE927"/>
    <mergeCell ref="AF923:AF927"/>
    <mergeCell ref="AG923:AG927"/>
    <mergeCell ref="S927:T927"/>
    <mergeCell ref="B928:B932"/>
    <mergeCell ref="C928:C932"/>
    <mergeCell ref="D928:D932"/>
    <mergeCell ref="E928:E932"/>
    <mergeCell ref="F928:F932"/>
    <mergeCell ref="H928:H932"/>
    <mergeCell ref="I928:I932"/>
    <mergeCell ref="J928:J932"/>
    <mergeCell ref="K928:K932"/>
    <mergeCell ref="L928:L932"/>
    <mergeCell ref="M928:M932"/>
    <mergeCell ref="N928:N932"/>
    <mergeCell ref="O928:O932"/>
    <mergeCell ref="P928:P932"/>
    <mergeCell ref="Q928:Q932"/>
    <mergeCell ref="S928:T928"/>
    <mergeCell ref="V928:V932"/>
    <mergeCell ref="W928:W932"/>
    <mergeCell ref="X928:X932"/>
    <mergeCell ref="Y928:Y932"/>
    <mergeCell ref="Z928:Z932"/>
    <mergeCell ref="AA928:AA932"/>
    <mergeCell ref="AB928:AB932"/>
    <mergeCell ref="AC928:AC932"/>
    <mergeCell ref="AD928:AD932"/>
    <mergeCell ref="AE928:AE932"/>
    <mergeCell ref="AF928:AF932"/>
    <mergeCell ref="AG928:AG932"/>
    <mergeCell ref="S932:T932"/>
    <mergeCell ref="B935:B939"/>
    <mergeCell ref="C935:C939"/>
    <mergeCell ref="D935:D939"/>
    <mergeCell ref="E935:E939"/>
    <mergeCell ref="F935:F939"/>
    <mergeCell ref="G935:G939"/>
    <mergeCell ref="H935:H939"/>
    <mergeCell ref="I935:I939"/>
    <mergeCell ref="J935:J939"/>
    <mergeCell ref="K935:K939"/>
    <mergeCell ref="L935:L939"/>
    <mergeCell ref="M935:M939"/>
    <mergeCell ref="N935:N939"/>
    <mergeCell ref="O935:O939"/>
    <mergeCell ref="P935:P939"/>
    <mergeCell ref="Q935:Q939"/>
    <mergeCell ref="S935:T935"/>
    <mergeCell ref="V935:V939"/>
    <mergeCell ref="W935:W939"/>
    <mergeCell ref="X935:X939"/>
    <mergeCell ref="Y935:Y939"/>
    <mergeCell ref="Z935:Z939"/>
    <mergeCell ref="AA935:AA939"/>
    <mergeCell ref="AB935:AB939"/>
    <mergeCell ref="AC935:AC939"/>
    <mergeCell ref="AD935:AD939"/>
    <mergeCell ref="AE935:AE939"/>
    <mergeCell ref="AF935:AF939"/>
    <mergeCell ref="AG935:AG939"/>
    <mergeCell ref="S939:T939"/>
    <mergeCell ref="B940:B944"/>
    <mergeCell ref="C940:C944"/>
    <mergeCell ref="D940:D944"/>
    <mergeCell ref="E940:E944"/>
    <mergeCell ref="F940:F944"/>
    <mergeCell ref="G940:G944"/>
    <mergeCell ref="H940:H944"/>
    <mergeCell ref="I940:I944"/>
    <mergeCell ref="J940:J944"/>
    <mergeCell ref="K940:K944"/>
    <mergeCell ref="L940:L944"/>
    <mergeCell ref="M940:M944"/>
    <mergeCell ref="N940:N944"/>
    <mergeCell ref="O940:O944"/>
    <mergeCell ref="P940:P944"/>
    <mergeCell ref="Q940:Q944"/>
    <mergeCell ref="S940:T940"/>
    <mergeCell ref="V940:V944"/>
    <mergeCell ref="W940:W944"/>
    <mergeCell ref="X940:X944"/>
    <mergeCell ref="Y940:Y944"/>
    <mergeCell ref="Z940:Z944"/>
    <mergeCell ref="AA940:AA944"/>
    <mergeCell ref="AB940:AB944"/>
    <mergeCell ref="AC940:AC944"/>
    <mergeCell ref="AD940:AD944"/>
    <mergeCell ref="AE940:AE944"/>
    <mergeCell ref="AF940:AF944"/>
    <mergeCell ref="AG940:AG944"/>
    <mergeCell ref="S944:T944"/>
    <mergeCell ref="B945:B949"/>
    <mergeCell ref="C945:C949"/>
    <mergeCell ref="D945:D949"/>
    <mergeCell ref="E945:E949"/>
    <mergeCell ref="F945:F949"/>
    <mergeCell ref="H945:H949"/>
    <mergeCell ref="I945:I949"/>
    <mergeCell ref="J945:J949"/>
    <mergeCell ref="K945:K949"/>
    <mergeCell ref="L945:L949"/>
    <mergeCell ref="M945:M949"/>
    <mergeCell ref="N945:N949"/>
    <mergeCell ref="O945:O949"/>
    <mergeCell ref="P945:P949"/>
    <mergeCell ref="Q945:Q949"/>
    <mergeCell ref="S945:T945"/>
    <mergeCell ref="V945:V949"/>
    <mergeCell ref="W945:W949"/>
    <mergeCell ref="X945:X949"/>
    <mergeCell ref="Y945:Y949"/>
    <mergeCell ref="Z945:Z949"/>
    <mergeCell ref="AA945:AA949"/>
    <mergeCell ref="AB945:AB949"/>
    <mergeCell ref="AC945:AC949"/>
    <mergeCell ref="AD945:AD949"/>
    <mergeCell ref="AE945:AE949"/>
    <mergeCell ref="AF945:AF949"/>
    <mergeCell ref="AG945:AG949"/>
    <mergeCell ref="S949:T949"/>
    <mergeCell ref="B950:B954"/>
    <mergeCell ref="C950:C954"/>
    <mergeCell ref="D950:D954"/>
    <mergeCell ref="E950:E954"/>
    <mergeCell ref="F950:F954"/>
    <mergeCell ref="H950:H954"/>
    <mergeCell ref="I950:I954"/>
    <mergeCell ref="J950:J954"/>
    <mergeCell ref="K950:K954"/>
    <mergeCell ref="L950:L954"/>
    <mergeCell ref="M950:M954"/>
    <mergeCell ref="N950:N954"/>
    <mergeCell ref="O950:O954"/>
    <mergeCell ref="P950:P954"/>
    <mergeCell ref="Q950:Q954"/>
    <mergeCell ref="S950:T950"/>
    <mergeCell ref="V950:V954"/>
    <mergeCell ref="W950:W954"/>
    <mergeCell ref="X950:X954"/>
    <mergeCell ref="Y950:Y954"/>
    <mergeCell ref="Z950:Z954"/>
    <mergeCell ref="AA950:AA954"/>
    <mergeCell ref="AB950:AB954"/>
    <mergeCell ref="AC950:AC954"/>
    <mergeCell ref="AD950:AD954"/>
    <mergeCell ref="AE950:AE954"/>
    <mergeCell ref="AF950:AF954"/>
    <mergeCell ref="AG950:AG954"/>
    <mergeCell ref="S954:T954"/>
    <mergeCell ref="B957:B961"/>
    <mergeCell ref="C957:C961"/>
    <mergeCell ref="D957:D961"/>
    <mergeCell ref="E957:E961"/>
    <mergeCell ref="F957:F961"/>
    <mergeCell ref="G957:G961"/>
    <mergeCell ref="H957:H961"/>
    <mergeCell ref="I957:I961"/>
    <mergeCell ref="J957:J961"/>
    <mergeCell ref="K957:K961"/>
    <mergeCell ref="L957:L961"/>
    <mergeCell ref="M957:M961"/>
    <mergeCell ref="N957:N961"/>
    <mergeCell ref="O957:O961"/>
    <mergeCell ref="P957:P961"/>
    <mergeCell ref="Q957:Q961"/>
    <mergeCell ref="S957:T957"/>
    <mergeCell ref="V957:V961"/>
    <mergeCell ref="W957:W961"/>
    <mergeCell ref="X957:X961"/>
    <mergeCell ref="Y957:Y961"/>
    <mergeCell ref="Z957:Z961"/>
    <mergeCell ref="AA957:AA961"/>
    <mergeCell ref="AB957:AB961"/>
    <mergeCell ref="AC957:AC961"/>
    <mergeCell ref="AD957:AD961"/>
    <mergeCell ref="AE957:AE961"/>
    <mergeCell ref="AF957:AF961"/>
    <mergeCell ref="AG957:AG961"/>
    <mergeCell ref="S961:T961"/>
    <mergeCell ref="B962:B966"/>
    <mergeCell ref="C962:C966"/>
    <mergeCell ref="D962:D966"/>
    <mergeCell ref="E962:E966"/>
    <mergeCell ref="F962:F966"/>
    <mergeCell ref="G962:G966"/>
    <mergeCell ref="H962:H966"/>
    <mergeCell ref="I962:I966"/>
    <mergeCell ref="J962:J966"/>
    <mergeCell ref="K962:K966"/>
    <mergeCell ref="L962:L966"/>
    <mergeCell ref="M962:M966"/>
    <mergeCell ref="N962:N966"/>
    <mergeCell ref="O962:O966"/>
    <mergeCell ref="P962:P966"/>
    <mergeCell ref="Q962:Q966"/>
    <mergeCell ref="S962:T962"/>
    <mergeCell ref="V962:V966"/>
    <mergeCell ref="W962:W966"/>
    <mergeCell ref="X962:X966"/>
    <mergeCell ref="Y962:Y966"/>
    <mergeCell ref="Z962:Z966"/>
    <mergeCell ref="AA962:AA966"/>
    <mergeCell ref="AB962:AB966"/>
    <mergeCell ref="AC962:AC966"/>
    <mergeCell ref="AD962:AD966"/>
    <mergeCell ref="AE962:AE966"/>
    <mergeCell ref="AF962:AF966"/>
    <mergeCell ref="AG962:AG966"/>
    <mergeCell ref="S966:T966"/>
    <mergeCell ref="B967:B971"/>
    <mergeCell ref="C967:C971"/>
    <mergeCell ref="D967:D971"/>
    <mergeCell ref="E967:E971"/>
    <mergeCell ref="F967:F971"/>
    <mergeCell ref="H967:H971"/>
    <mergeCell ref="I967:I971"/>
    <mergeCell ref="J967:J971"/>
    <mergeCell ref="K967:K971"/>
    <mergeCell ref="L967:L971"/>
    <mergeCell ref="M967:M971"/>
    <mergeCell ref="N967:N971"/>
    <mergeCell ref="O967:O971"/>
    <mergeCell ref="P967:P971"/>
    <mergeCell ref="Q967:Q971"/>
    <mergeCell ref="S967:T967"/>
    <mergeCell ref="V967:V971"/>
    <mergeCell ref="W967:W971"/>
    <mergeCell ref="X967:X971"/>
    <mergeCell ref="Y967:Y971"/>
    <mergeCell ref="Z967:Z971"/>
    <mergeCell ref="AA967:AA971"/>
    <mergeCell ref="AB967:AB971"/>
    <mergeCell ref="AC967:AC971"/>
    <mergeCell ref="AD967:AD971"/>
    <mergeCell ref="AE967:AE971"/>
    <mergeCell ref="AF967:AF971"/>
    <mergeCell ref="AG967:AG971"/>
    <mergeCell ref="S971:T971"/>
    <mergeCell ref="B972:B976"/>
    <mergeCell ref="C972:C976"/>
    <mergeCell ref="D972:D976"/>
    <mergeCell ref="E972:E976"/>
    <mergeCell ref="F972:F976"/>
    <mergeCell ref="H972:H976"/>
    <mergeCell ref="I972:I976"/>
    <mergeCell ref="J972:J976"/>
    <mergeCell ref="K972:K976"/>
    <mergeCell ref="L972:L976"/>
    <mergeCell ref="M972:M976"/>
    <mergeCell ref="N972:N976"/>
    <mergeCell ref="O972:O976"/>
    <mergeCell ref="P972:P976"/>
    <mergeCell ref="Q972:Q976"/>
    <mergeCell ref="S972:T972"/>
    <mergeCell ref="V972:V976"/>
    <mergeCell ref="W972:W976"/>
    <mergeCell ref="X972:X976"/>
    <mergeCell ref="Y972:Y976"/>
    <mergeCell ref="Z972:Z976"/>
    <mergeCell ref="AA972:AA976"/>
    <mergeCell ref="AB972:AB976"/>
    <mergeCell ref="AC972:AC976"/>
    <mergeCell ref="AD972:AD976"/>
    <mergeCell ref="AE972:AE976"/>
    <mergeCell ref="AF972:AF976"/>
    <mergeCell ref="AG972:AG976"/>
    <mergeCell ref="S976:T976"/>
    <mergeCell ref="B979:B983"/>
    <mergeCell ref="C979:C983"/>
    <mergeCell ref="D979:D983"/>
    <mergeCell ref="E979:E983"/>
    <mergeCell ref="F979:F983"/>
    <mergeCell ref="G979:G983"/>
    <mergeCell ref="H979:H983"/>
    <mergeCell ref="I979:I983"/>
    <mergeCell ref="J979:J983"/>
    <mergeCell ref="K979:K983"/>
    <mergeCell ref="L979:L983"/>
    <mergeCell ref="M979:M983"/>
    <mergeCell ref="N979:N983"/>
    <mergeCell ref="O979:O983"/>
    <mergeCell ref="P979:P983"/>
    <mergeCell ref="Q979:Q983"/>
    <mergeCell ref="S979:T979"/>
    <mergeCell ref="V979:V983"/>
    <mergeCell ref="W979:W983"/>
    <mergeCell ref="X979:X983"/>
    <mergeCell ref="Y979:Y983"/>
    <mergeCell ref="Z979:Z983"/>
    <mergeCell ref="AA979:AA983"/>
    <mergeCell ref="AB979:AB983"/>
    <mergeCell ref="AC979:AC983"/>
    <mergeCell ref="AD979:AD983"/>
    <mergeCell ref="AE979:AE983"/>
    <mergeCell ref="AF979:AF983"/>
    <mergeCell ref="AG979:AG983"/>
    <mergeCell ref="S983:T983"/>
    <mergeCell ref="B984:B988"/>
    <mergeCell ref="C984:C988"/>
    <mergeCell ref="D984:D988"/>
    <mergeCell ref="E984:E988"/>
    <mergeCell ref="F984:F988"/>
    <mergeCell ref="G984:G988"/>
    <mergeCell ref="H984:H988"/>
    <mergeCell ref="I984:I988"/>
    <mergeCell ref="J984:J988"/>
    <mergeCell ref="K984:K988"/>
    <mergeCell ref="L984:L988"/>
    <mergeCell ref="M984:M988"/>
    <mergeCell ref="N984:N988"/>
    <mergeCell ref="O984:O988"/>
    <mergeCell ref="P984:P988"/>
    <mergeCell ref="Q984:Q988"/>
    <mergeCell ref="S984:T984"/>
    <mergeCell ref="V984:V988"/>
    <mergeCell ref="W984:W988"/>
    <mergeCell ref="X984:X988"/>
    <mergeCell ref="Y984:Y988"/>
    <mergeCell ref="Z984:Z988"/>
    <mergeCell ref="AA984:AA988"/>
    <mergeCell ref="AB984:AB988"/>
    <mergeCell ref="AC984:AC988"/>
    <mergeCell ref="AD984:AD988"/>
    <mergeCell ref="AE984:AE988"/>
    <mergeCell ref="AF984:AF988"/>
    <mergeCell ref="AG984:AG988"/>
    <mergeCell ref="S988:T988"/>
    <mergeCell ref="B989:B993"/>
    <mergeCell ref="C989:C993"/>
    <mergeCell ref="D989:D993"/>
    <mergeCell ref="E989:E993"/>
    <mergeCell ref="F989:F993"/>
    <mergeCell ref="H989:H993"/>
    <mergeCell ref="I989:I993"/>
    <mergeCell ref="J989:J993"/>
    <mergeCell ref="K989:K993"/>
    <mergeCell ref="L989:L993"/>
    <mergeCell ref="M989:M993"/>
    <mergeCell ref="N989:N993"/>
    <mergeCell ref="O989:O993"/>
    <mergeCell ref="P989:P993"/>
    <mergeCell ref="Q989:Q993"/>
    <mergeCell ref="S989:T989"/>
    <mergeCell ref="V989:V993"/>
    <mergeCell ref="W989:W993"/>
    <mergeCell ref="X989:X993"/>
    <mergeCell ref="Y989:Y993"/>
    <mergeCell ref="Z989:Z993"/>
    <mergeCell ref="AA989:AA993"/>
    <mergeCell ref="AB989:AB993"/>
    <mergeCell ref="AC989:AC993"/>
    <mergeCell ref="AD989:AD993"/>
    <mergeCell ref="AE989:AE993"/>
    <mergeCell ref="AF989:AF993"/>
    <mergeCell ref="AG989:AG993"/>
    <mergeCell ref="S993:T993"/>
    <mergeCell ref="W994:W998"/>
    <mergeCell ref="X994:X998"/>
    <mergeCell ref="Y994:Y998"/>
    <mergeCell ref="Z994:Z998"/>
    <mergeCell ref="AA994:AA998"/>
    <mergeCell ref="AB994:AB998"/>
    <mergeCell ref="AC994:AC998"/>
    <mergeCell ref="AD994:AD998"/>
    <mergeCell ref="AE994:AE998"/>
    <mergeCell ref="AF994:AF998"/>
    <mergeCell ref="AG994:AG998"/>
    <mergeCell ref="S998:T998"/>
    <mergeCell ref="B994:B998"/>
    <mergeCell ref="C994:C998"/>
    <mergeCell ref="D994:D998"/>
    <mergeCell ref="E994:E998"/>
    <mergeCell ref="F994:F998"/>
    <mergeCell ref="H994:H998"/>
    <mergeCell ref="I994:I998"/>
    <mergeCell ref="J994:J998"/>
    <mergeCell ref="K994:K998"/>
    <mergeCell ref="L994:L998"/>
    <mergeCell ref="M994:M998"/>
    <mergeCell ref="N994:N998"/>
    <mergeCell ref="O994:O998"/>
    <mergeCell ref="P994:P998"/>
    <mergeCell ref="Q994:Q998"/>
    <mergeCell ref="S994:T994"/>
    <mergeCell ref="V994:V998"/>
  </mergeCells>
  <pageMargins left="0.7" right="0.7" top="0.75" bottom="0.75" header="0.3" footer="0.3"/>
  <pageSetup paperSize="0"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51A89-E898-4547-985C-8241CD845F82}">
  <dimension ref="A1:AH51"/>
  <sheetViews>
    <sheetView zoomScale="55" zoomScaleNormal="55" workbookViewId="0">
      <selection activeCell="A6" sqref="A6:XFD15"/>
    </sheetView>
  </sheetViews>
  <sheetFormatPr defaultRowHeight="15" x14ac:dyDescent="0.25"/>
  <cols>
    <col min="3" max="3" width="21.140625" bestFit="1" customWidth="1"/>
  </cols>
  <sheetData>
    <row r="1" spans="1:34" ht="15.75" thickBot="1" x14ac:dyDescent="0.3"/>
    <row r="2" spans="1:34" x14ac:dyDescent="0.25">
      <c r="A2" s="195"/>
      <c r="B2" s="512" t="s">
        <v>243</v>
      </c>
      <c r="C2" s="512" t="s">
        <v>244</v>
      </c>
      <c r="D2" s="509" t="s">
        <v>245</v>
      </c>
      <c r="E2" s="509" t="s">
        <v>246</v>
      </c>
      <c r="F2" s="515" t="s">
        <v>247</v>
      </c>
      <c r="G2" s="515" t="s">
        <v>285</v>
      </c>
      <c r="H2" s="518" t="s">
        <v>248</v>
      </c>
      <c r="I2" s="527" t="s">
        <v>249</v>
      </c>
      <c r="J2" s="509" t="s">
        <v>250</v>
      </c>
      <c r="K2" s="524" t="s">
        <v>251</v>
      </c>
      <c r="L2" s="525"/>
      <c r="M2" s="525"/>
      <c r="N2" s="525"/>
      <c r="O2" s="525"/>
      <c r="P2" s="525"/>
      <c r="Q2" s="526"/>
      <c r="R2" s="503" t="s">
        <v>252</v>
      </c>
      <c r="S2" s="504"/>
      <c r="T2" s="504"/>
      <c r="U2" s="505"/>
      <c r="V2" s="509" t="s">
        <v>253</v>
      </c>
      <c r="W2" s="509" t="s">
        <v>254</v>
      </c>
      <c r="X2" s="509" t="s">
        <v>255</v>
      </c>
      <c r="Y2" s="524" t="s">
        <v>256</v>
      </c>
      <c r="Z2" s="525"/>
      <c r="AA2" s="525"/>
      <c r="AB2" s="525"/>
      <c r="AC2" s="525"/>
      <c r="AD2" s="525"/>
      <c r="AE2" s="525"/>
      <c r="AF2" s="526"/>
      <c r="AG2" s="512" t="s">
        <v>6</v>
      </c>
      <c r="AH2" s="195"/>
    </row>
    <row r="3" spans="1:34" x14ac:dyDescent="0.25">
      <c r="A3" s="195"/>
      <c r="B3" s="513"/>
      <c r="C3" s="513"/>
      <c r="D3" s="510"/>
      <c r="E3" s="510"/>
      <c r="F3" s="516"/>
      <c r="G3" s="516"/>
      <c r="H3" s="519"/>
      <c r="I3" s="528"/>
      <c r="J3" s="510"/>
      <c r="K3" s="512" t="s">
        <v>218</v>
      </c>
      <c r="L3" s="512" t="s">
        <v>257</v>
      </c>
      <c r="M3" s="512" t="s">
        <v>258</v>
      </c>
      <c r="N3" s="512" t="s">
        <v>259</v>
      </c>
      <c r="O3" s="512" t="s">
        <v>260</v>
      </c>
      <c r="P3" s="512" t="s">
        <v>261</v>
      </c>
      <c r="Q3" s="512" t="s">
        <v>262</v>
      </c>
      <c r="R3" s="506"/>
      <c r="S3" s="507"/>
      <c r="T3" s="507"/>
      <c r="U3" s="508"/>
      <c r="V3" s="510"/>
      <c r="W3" s="510"/>
      <c r="X3" s="510"/>
      <c r="Y3" s="199">
        <v>3</v>
      </c>
      <c r="Z3" s="199">
        <v>4</v>
      </c>
      <c r="AA3" s="199">
        <v>5</v>
      </c>
      <c r="AB3" s="199">
        <v>6</v>
      </c>
      <c r="AC3" s="199">
        <v>7</v>
      </c>
      <c r="AD3" s="199">
        <v>8</v>
      </c>
      <c r="AE3" s="199">
        <v>9</v>
      </c>
      <c r="AF3" s="199">
        <v>10</v>
      </c>
      <c r="AG3" s="513"/>
      <c r="AH3" s="195"/>
    </row>
    <row r="4" spans="1:34" ht="15.75" thickBot="1" x14ac:dyDescent="0.3">
      <c r="A4" s="195"/>
      <c r="B4" s="514"/>
      <c r="C4" s="514"/>
      <c r="D4" s="511"/>
      <c r="E4" s="510"/>
      <c r="F4" s="517"/>
      <c r="G4" s="517"/>
      <c r="H4" s="520"/>
      <c r="I4" s="529"/>
      <c r="J4" s="511"/>
      <c r="K4" s="514"/>
      <c r="L4" s="514"/>
      <c r="M4" s="514"/>
      <c r="N4" s="514"/>
      <c r="O4" s="514"/>
      <c r="P4" s="514"/>
      <c r="Q4" s="514"/>
      <c r="R4" s="506"/>
      <c r="S4" s="507"/>
      <c r="T4" s="507"/>
      <c r="U4" s="508"/>
      <c r="V4" s="510"/>
      <c r="W4" s="511"/>
      <c r="X4" s="511"/>
      <c r="Y4" s="199">
        <v>0.376</v>
      </c>
      <c r="Z4" s="199">
        <v>0.66800000000000004</v>
      </c>
      <c r="AA4" s="199">
        <v>1.0429999999999999</v>
      </c>
      <c r="AB4" s="199">
        <v>1.502</v>
      </c>
      <c r="AC4" s="199">
        <v>2.044</v>
      </c>
      <c r="AD4" s="199">
        <v>2.67</v>
      </c>
      <c r="AE4" s="199">
        <v>3.4</v>
      </c>
      <c r="AF4" s="199">
        <v>4.3029999999999999</v>
      </c>
      <c r="AG4" s="514"/>
      <c r="AH4" s="195"/>
    </row>
    <row r="5" spans="1:34" ht="15.75" thickBot="1" x14ac:dyDescent="0.3">
      <c r="A5" s="193"/>
      <c r="B5" s="204"/>
      <c r="C5" s="205"/>
      <c r="D5" s="194"/>
      <c r="E5" s="206"/>
      <c r="F5" s="205"/>
      <c r="G5" s="205"/>
      <c r="H5" s="207">
        <v>3</v>
      </c>
      <c r="I5" s="207">
        <v>2</v>
      </c>
      <c r="J5" s="205"/>
      <c r="K5" s="205"/>
      <c r="L5" s="205"/>
      <c r="M5" s="205"/>
      <c r="N5" s="205"/>
      <c r="O5" s="205"/>
      <c r="P5" s="205"/>
      <c r="Q5" s="208"/>
      <c r="R5" s="209"/>
      <c r="S5" s="210"/>
      <c r="T5" s="210"/>
      <c r="U5" s="211"/>
      <c r="V5" s="212"/>
      <c r="W5" s="204"/>
      <c r="X5" s="204"/>
      <c r="Y5" s="205"/>
      <c r="Z5" s="205"/>
      <c r="AA5" s="205"/>
      <c r="AB5" s="205"/>
      <c r="AC5" s="205"/>
      <c r="AD5" s="205"/>
      <c r="AE5" s="205"/>
      <c r="AF5" s="205"/>
      <c r="AG5" s="205"/>
      <c r="AH5" s="193"/>
    </row>
    <row r="6" spans="1:34" x14ac:dyDescent="0.25">
      <c r="A6" s="193"/>
      <c r="B6" s="490"/>
      <c r="C6" s="536" t="s">
        <v>340</v>
      </c>
      <c r="D6" s="490">
        <v>5</v>
      </c>
      <c r="E6" s="490">
        <v>0.625</v>
      </c>
      <c r="F6" s="490"/>
      <c r="G6" s="490">
        <v>0</v>
      </c>
      <c r="H6" s="490"/>
      <c r="I6" s="490">
        <f>ROUNDUP(9.33/0.833,0)</f>
        <v>12</v>
      </c>
      <c r="J6" s="490">
        <v>2</v>
      </c>
      <c r="K6" s="490"/>
      <c r="L6" s="490">
        <f>8*12</f>
        <v>96</v>
      </c>
      <c r="M6" s="490"/>
      <c r="N6" s="490"/>
      <c r="O6" s="490"/>
      <c r="P6" s="490"/>
      <c r="Q6" s="490"/>
      <c r="R6" s="213"/>
      <c r="S6" s="502"/>
      <c r="T6" s="502"/>
      <c r="U6" s="214"/>
      <c r="V6" s="490">
        <f>SUM(R6:U10)</f>
        <v>8</v>
      </c>
      <c r="W6" s="490">
        <f>+SUM(K6:Q10)</f>
        <v>96</v>
      </c>
      <c r="X6" s="490">
        <f>(+I6*J6*W6)/12</f>
        <v>192</v>
      </c>
      <c r="Y6" s="490">
        <f t="shared" ref="Y6:AF6" si="0">IF(Y$3=$D6,$X6*Y$4,0)</f>
        <v>0</v>
      </c>
      <c r="Z6" s="490">
        <f t="shared" si="0"/>
        <v>0</v>
      </c>
      <c r="AA6" s="490">
        <f t="shared" si="0"/>
        <v>200.25599999999997</v>
      </c>
      <c r="AB6" s="490">
        <f t="shared" si="0"/>
        <v>0</v>
      </c>
      <c r="AC6" s="490">
        <f t="shared" si="0"/>
        <v>0</v>
      </c>
      <c r="AD6" s="490">
        <f t="shared" si="0"/>
        <v>0</v>
      </c>
      <c r="AE6" s="490">
        <f t="shared" si="0"/>
        <v>0</v>
      </c>
      <c r="AF6" s="490">
        <f t="shared" si="0"/>
        <v>0</v>
      </c>
      <c r="AG6" s="490"/>
      <c r="AH6" s="193"/>
    </row>
    <row r="7" spans="1:34" x14ac:dyDescent="0.25">
      <c r="A7" s="193"/>
      <c r="B7" s="491"/>
      <c r="C7" s="537"/>
      <c r="D7" s="491"/>
      <c r="E7" s="491"/>
      <c r="F7" s="491"/>
      <c r="G7" s="491"/>
      <c r="H7" s="491"/>
      <c r="I7" s="491"/>
      <c r="J7" s="491"/>
      <c r="K7" s="491"/>
      <c r="L7" s="491"/>
      <c r="M7" s="491"/>
      <c r="N7" s="491"/>
      <c r="O7" s="491"/>
      <c r="P7" s="491"/>
      <c r="Q7" s="491"/>
      <c r="R7" s="213"/>
      <c r="S7" s="215"/>
      <c r="T7" s="216"/>
      <c r="U7" s="214"/>
      <c r="V7" s="491"/>
      <c r="W7" s="491"/>
      <c r="X7" s="491"/>
      <c r="Y7" s="491"/>
      <c r="Z7" s="491"/>
      <c r="AA7" s="491"/>
      <c r="AB7" s="491"/>
      <c r="AC7" s="491"/>
      <c r="AD7" s="491"/>
      <c r="AE7" s="491"/>
      <c r="AF7" s="491"/>
      <c r="AG7" s="491"/>
      <c r="AH7" s="193"/>
    </row>
    <row r="8" spans="1:34" x14ac:dyDescent="0.25">
      <c r="A8" s="193"/>
      <c r="B8" s="491"/>
      <c r="C8" s="537"/>
      <c r="D8" s="491"/>
      <c r="E8" s="491"/>
      <c r="F8" s="491"/>
      <c r="G8" s="491"/>
      <c r="H8" s="491"/>
      <c r="I8" s="491"/>
      <c r="J8" s="491"/>
      <c r="K8" s="491"/>
      <c r="L8" s="491"/>
      <c r="M8" s="491"/>
      <c r="N8" s="491"/>
      <c r="O8" s="491"/>
      <c r="P8" s="491"/>
      <c r="Q8" s="491"/>
      <c r="R8" s="217"/>
      <c r="S8" s="218"/>
      <c r="T8" s="218"/>
      <c r="U8" s="219"/>
      <c r="V8" s="491"/>
      <c r="W8" s="491"/>
      <c r="X8" s="491"/>
      <c r="Y8" s="491"/>
      <c r="Z8" s="491"/>
      <c r="AA8" s="491"/>
      <c r="AB8" s="491"/>
      <c r="AC8" s="491"/>
      <c r="AD8" s="491"/>
      <c r="AE8" s="491"/>
      <c r="AF8" s="491"/>
      <c r="AG8" s="491"/>
      <c r="AH8" s="193"/>
    </row>
    <row r="9" spans="1:34" ht="15.75" thickBot="1" x14ac:dyDescent="0.3">
      <c r="A9" s="193"/>
      <c r="B9" s="491"/>
      <c r="C9" s="537"/>
      <c r="D9" s="491"/>
      <c r="E9" s="491"/>
      <c r="F9" s="491"/>
      <c r="G9" s="491"/>
      <c r="H9" s="491"/>
      <c r="I9" s="491"/>
      <c r="J9" s="491"/>
      <c r="K9" s="491"/>
      <c r="L9" s="491"/>
      <c r="M9" s="491"/>
      <c r="N9" s="491"/>
      <c r="O9" s="491"/>
      <c r="P9" s="491"/>
      <c r="Q9" s="491"/>
      <c r="R9" s="213"/>
      <c r="S9" s="220"/>
      <c r="T9" s="220"/>
      <c r="U9" s="214"/>
      <c r="V9" s="491"/>
      <c r="W9" s="491"/>
      <c r="X9" s="491"/>
      <c r="Y9" s="491"/>
      <c r="Z9" s="491"/>
      <c r="AA9" s="491"/>
      <c r="AB9" s="491"/>
      <c r="AC9" s="491"/>
      <c r="AD9" s="491"/>
      <c r="AE9" s="491"/>
      <c r="AF9" s="491"/>
      <c r="AG9" s="491"/>
      <c r="AH9" s="193"/>
    </row>
    <row r="10" spans="1:34" ht="15.75" thickBot="1" x14ac:dyDescent="0.3">
      <c r="A10" s="193"/>
      <c r="B10" s="492"/>
      <c r="C10" s="538"/>
      <c r="D10" s="492"/>
      <c r="E10" s="492"/>
      <c r="F10" s="492"/>
      <c r="G10" s="492"/>
      <c r="H10" s="492"/>
      <c r="I10" s="492"/>
      <c r="J10" s="492"/>
      <c r="K10" s="492"/>
      <c r="L10" s="492"/>
      <c r="M10" s="492"/>
      <c r="N10" s="492"/>
      <c r="O10" s="492"/>
      <c r="P10" s="492"/>
      <c r="Q10" s="492"/>
      <c r="R10" s="221"/>
      <c r="S10" s="493">
        <f>L6/12</f>
        <v>8</v>
      </c>
      <c r="T10" s="493"/>
      <c r="U10" s="222"/>
      <c r="V10" s="492"/>
      <c r="W10" s="492"/>
      <c r="X10" s="492"/>
      <c r="Y10" s="492"/>
      <c r="Z10" s="492"/>
      <c r="AA10" s="492"/>
      <c r="AB10" s="492"/>
      <c r="AC10" s="492"/>
      <c r="AD10" s="492"/>
      <c r="AE10" s="492"/>
      <c r="AF10" s="492"/>
      <c r="AG10" s="492"/>
      <c r="AH10" s="193"/>
    </row>
    <row r="11" spans="1:34" x14ac:dyDescent="0.25">
      <c r="A11" s="193"/>
      <c r="B11" s="490"/>
      <c r="C11" s="536" t="s">
        <v>340</v>
      </c>
      <c r="D11" s="490">
        <v>5</v>
      </c>
      <c r="E11" s="490">
        <v>0.625</v>
      </c>
      <c r="F11" s="490"/>
      <c r="G11" s="490">
        <v>0</v>
      </c>
      <c r="H11" s="490"/>
      <c r="I11" s="490">
        <f>ROUNDUP(15.33/0.833,0)</f>
        <v>19</v>
      </c>
      <c r="J11" s="490">
        <v>1</v>
      </c>
      <c r="K11" s="490"/>
      <c r="L11" s="490">
        <f>8*12</f>
        <v>96</v>
      </c>
      <c r="M11" s="490"/>
      <c r="N11" s="490"/>
      <c r="O11" s="490"/>
      <c r="P11" s="490"/>
      <c r="Q11" s="490"/>
      <c r="R11" s="213"/>
      <c r="S11" s="502"/>
      <c r="T11" s="502"/>
      <c r="U11" s="214"/>
      <c r="V11" s="490">
        <f>SUM(R11:U15)</f>
        <v>8</v>
      </c>
      <c r="W11" s="490">
        <f>+SUM(K11:Q15)</f>
        <v>96</v>
      </c>
      <c r="X11" s="490">
        <f>(+I11*J11*W11)/12</f>
        <v>152</v>
      </c>
      <c r="Y11" s="490">
        <f t="shared" ref="Y11:AF11" si="1">IF(Y$3=$D11,$X11*Y$4,0)</f>
        <v>0</v>
      </c>
      <c r="Z11" s="490">
        <f t="shared" si="1"/>
        <v>0</v>
      </c>
      <c r="AA11" s="490">
        <f t="shared" si="1"/>
        <v>158.536</v>
      </c>
      <c r="AB11" s="490">
        <f t="shared" si="1"/>
        <v>0</v>
      </c>
      <c r="AC11" s="490">
        <f t="shared" si="1"/>
        <v>0</v>
      </c>
      <c r="AD11" s="490">
        <f t="shared" si="1"/>
        <v>0</v>
      </c>
      <c r="AE11" s="490">
        <f t="shared" si="1"/>
        <v>0</v>
      </c>
      <c r="AF11" s="490">
        <f t="shared" si="1"/>
        <v>0</v>
      </c>
      <c r="AG11" s="490"/>
      <c r="AH11" s="193"/>
    </row>
    <row r="12" spans="1:34" x14ac:dyDescent="0.25">
      <c r="A12" s="193"/>
      <c r="B12" s="491"/>
      <c r="C12" s="537"/>
      <c r="D12" s="491"/>
      <c r="E12" s="491"/>
      <c r="F12" s="491"/>
      <c r="G12" s="491"/>
      <c r="H12" s="491"/>
      <c r="I12" s="491"/>
      <c r="J12" s="491"/>
      <c r="K12" s="491"/>
      <c r="L12" s="491"/>
      <c r="M12" s="491"/>
      <c r="N12" s="491"/>
      <c r="O12" s="491"/>
      <c r="P12" s="491"/>
      <c r="Q12" s="491"/>
      <c r="R12" s="213"/>
      <c r="S12" s="215"/>
      <c r="T12" s="216"/>
      <c r="U12" s="214"/>
      <c r="V12" s="491"/>
      <c r="W12" s="491"/>
      <c r="X12" s="491"/>
      <c r="Y12" s="491"/>
      <c r="Z12" s="491"/>
      <c r="AA12" s="491"/>
      <c r="AB12" s="491"/>
      <c r="AC12" s="491"/>
      <c r="AD12" s="491"/>
      <c r="AE12" s="491"/>
      <c r="AF12" s="491"/>
      <c r="AG12" s="491"/>
      <c r="AH12" s="193"/>
    </row>
    <row r="13" spans="1:34" x14ac:dyDescent="0.25">
      <c r="A13" s="193"/>
      <c r="B13" s="491"/>
      <c r="C13" s="537"/>
      <c r="D13" s="491"/>
      <c r="E13" s="491"/>
      <c r="F13" s="491"/>
      <c r="G13" s="491"/>
      <c r="H13" s="491"/>
      <c r="I13" s="491"/>
      <c r="J13" s="491"/>
      <c r="K13" s="491"/>
      <c r="L13" s="491"/>
      <c r="M13" s="491"/>
      <c r="N13" s="491"/>
      <c r="O13" s="491"/>
      <c r="P13" s="491"/>
      <c r="Q13" s="491"/>
      <c r="R13" s="217"/>
      <c r="S13" s="218"/>
      <c r="T13" s="218"/>
      <c r="U13" s="219"/>
      <c r="V13" s="491"/>
      <c r="W13" s="491"/>
      <c r="X13" s="491"/>
      <c r="Y13" s="491"/>
      <c r="Z13" s="491"/>
      <c r="AA13" s="491"/>
      <c r="AB13" s="491"/>
      <c r="AC13" s="491"/>
      <c r="AD13" s="491"/>
      <c r="AE13" s="491"/>
      <c r="AF13" s="491"/>
      <c r="AG13" s="491"/>
      <c r="AH13" s="193"/>
    </row>
    <row r="14" spans="1:34" ht="15.75" thickBot="1" x14ac:dyDescent="0.3">
      <c r="A14" s="193"/>
      <c r="B14" s="491"/>
      <c r="C14" s="537"/>
      <c r="D14" s="491"/>
      <c r="E14" s="491"/>
      <c r="F14" s="491"/>
      <c r="G14" s="491"/>
      <c r="H14" s="491"/>
      <c r="I14" s="491"/>
      <c r="J14" s="491"/>
      <c r="K14" s="491"/>
      <c r="L14" s="491"/>
      <c r="M14" s="491"/>
      <c r="N14" s="491"/>
      <c r="O14" s="491"/>
      <c r="P14" s="491"/>
      <c r="Q14" s="491"/>
      <c r="R14" s="213"/>
      <c r="S14" s="220"/>
      <c r="T14" s="220"/>
      <c r="U14" s="214"/>
      <c r="V14" s="491"/>
      <c r="W14" s="491"/>
      <c r="X14" s="491"/>
      <c r="Y14" s="491"/>
      <c r="Z14" s="491"/>
      <c r="AA14" s="491"/>
      <c r="AB14" s="491"/>
      <c r="AC14" s="491"/>
      <c r="AD14" s="491"/>
      <c r="AE14" s="491"/>
      <c r="AF14" s="491"/>
      <c r="AG14" s="491"/>
      <c r="AH14" s="193"/>
    </row>
    <row r="15" spans="1:34" ht="15.75" thickBot="1" x14ac:dyDescent="0.3">
      <c r="A15" s="193"/>
      <c r="B15" s="492"/>
      <c r="C15" s="538"/>
      <c r="D15" s="492"/>
      <c r="E15" s="492"/>
      <c r="F15" s="492"/>
      <c r="G15" s="492"/>
      <c r="H15" s="492"/>
      <c r="I15" s="492"/>
      <c r="J15" s="492"/>
      <c r="K15" s="492"/>
      <c r="L15" s="492"/>
      <c r="M15" s="492"/>
      <c r="N15" s="492"/>
      <c r="O15" s="492"/>
      <c r="P15" s="492"/>
      <c r="Q15" s="492"/>
      <c r="R15" s="221"/>
      <c r="S15" s="493">
        <f>L11/12</f>
        <v>8</v>
      </c>
      <c r="T15" s="493"/>
      <c r="U15" s="222"/>
      <c r="V15" s="492"/>
      <c r="W15" s="492"/>
      <c r="X15" s="492"/>
      <c r="Y15" s="492"/>
      <c r="Z15" s="492"/>
      <c r="AA15" s="492"/>
      <c r="AB15" s="492"/>
      <c r="AC15" s="492"/>
      <c r="AD15" s="492"/>
      <c r="AE15" s="492"/>
      <c r="AF15" s="492"/>
      <c r="AG15" s="492"/>
      <c r="AH15" s="193"/>
    </row>
    <row r="16" spans="1:34" x14ac:dyDescent="0.25">
      <c r="A16" s="193"/>
      <c r="B16" s="490"/>
      <c r="C16" s="536" t="s">
        <v>340</v>
      </c>
      <c r="D16" s="490">
        <v>5</v>
      </c>
      <c r="E16" s="490">
        <v>0.625</v>
      </c>
      <c r="F16" s="490"/>
      <c r="G16" s="490">
        <v>0</v>
      </c>
      <c r="H16" s="490"/>
      <c r="I16" s="490">
        <f>ROUNDUP(80.67/0.833,0)</f>
        <v>97</v>
      </c>
      <c r="J16" s="490">
        <v>1</v>
      </c>
      <c r="K16" s="490"/>
      <c r="L16" s="490">
        <f>15.67*12</f>
        <v>188.04</v>
      </c>
      <c r="M16" s="490"/>
      <c r="N16" s="490"/>
      <c r="O16" s="490"/>
      <c r="P16" s="490"/>
      <c r="Q16" s="490"/>
      <c r="R16" s="213"/>
      <c r="S16" s="502"/>
      <c r="T16" s="502"/>
      <c r="U16" s="214"/>
      <c r="V16" s="490">
        <f>SUM(R16:U20)</f>
        <v>15.67</v>
      </c>
      <c r="W16" s="490">
        <f>+SUM(K16:Q20)</f>
        <v>188.04</v>
      </c>
      <c r="X16" s="490">
        <f>(+I16*J16*W16)/12</f>
        <v>1519.99</v>
      </c>
      <c r="Y16" s="490">
        <f t="shared" ref="Y16:AF16" si="2">IF(Y$3=$D16,$X16*Y$4,0)</f>
        <v>0</v>
      </c>
      <c r="Z16" s="490">
        <f t="shared" si="2"/>
        <v>0</v>
      </c>
      <c r="AA16" s="490">
        <f t="shared" si="2"/>
        <v>1585.3495699999999</v>
      </c>
      <c r="AB16" s="490">
        <f t="shared" si="2"/>
        <v>0</v>
      </c>
      <c r="AC16" s="490">
        <f t="shared" si="2"/>
        <v>0</v>
      </c>
      <c r="AD16" s="490">
        <f t="shared" si="2"/>
        <v>0</v>
      </c>
      <c r="AE16" s="490">
        <f t="shared" si="2"/>
        <v>0</v>
      </c>
      <c r="AF16" s="490">
        <f t="shared" si="2"/>
        <v>0</v>
      </c>
      <c r="AG16" s="490"/>
      <c r="AH16" s="193"/>
    </row>
    <row r="17" spans="1:34" x14ac:dyDescent="0.25">
      <c r="A17" s="193"/>
      <c r="B17" s="491"/>
      <c r="C17" s="537"/>
      <c r="D17" s="491"/>
      <c r="E17" s="491"/>
      <c r="F17" s="491"/>
      <c r="G17" s="491"/>
      <c r="H17" s="491"/>
      <c r="I17" s="491"/>
      <c r="J17" s="491"/>
      <c r="K17" s="491"/>
      <c r="L17" s="491"/>
      <c r="M17" s="491"/>
      <c r="N17" s="491"/>
      <c r="O17" s="491"/>
      <c r="P17" s="491"/>
      <c r="Q17" s="491"/>
      <c r="R17" s="213"/>
      <c r="S17" s="215"/>
      <c r="T17" s="216"/>
      <c r="U17" s="214"/>
      <c r="V17" s="491"/>
      <c r="W17" s="491"/>
      <c r="X17" s="491"/>
      <c r="Y17" s="491"/>
      <c r="Z17" s="491"/>
      <c r="AA17" s="491"/>
      <c r="AB17" s="491"/>
      <c r="AC17" s="491"/>
      <c r="AD17" s="491"/>
      <c r="AE17" s="491"/>
      <c r="AF17" s="491"/>
      <c r="AG17" s="491"/>
      <c r="AH17" s="193"/>
    </row>
    <row r="18" spans="1:34" x14ac:dyDescent="0.25">
      <c r="A18" s="193"/>
      <c r="B18" s="491"/>
      <c r="C18" s="537"/>
      <c r="D18" s="491"/>
      <c r="E18" s="491"/>
      <c r="F18" s="491"/>
      <c r="G18" s="491"/>
      <c r="H18" s="491"/>
      <c r="I18" s="491"/>
      <c r="J18" s="491"/>
      <c r="K18" s="491"/>
      <c r="L18" s="491"/>
      <c r="M18" s="491"/>
      <c r="N18" s="491"/>
      <c r="O18" s="491"/>
      <c r="P18" s="491"/>
      <c r="Q18" s="491"/>
      <c r="R18" s="217"/>
      <c r="S18" s="218"/>
      <c r="T18" s="218"/>
      <c r="U18" s="219"/>
      <c r="V18" s="491"/>
      <c r="W18" s="491"/>
      <c r="X18" s="491"/>
      <c r="Y18" s="491"/>
      <c r="Z18" s="491"/>
      <c r="AA18" s="491"/>
      <c r="AB18" s="491"/>
      <c r="AC18" s="491"/>
      <c r="AD18" s="491"/>
      <c r="AE18" s="491"/>
      <c r="AF18" s="491"/>
      <c r="AG18" s="491"/>
      <c r="AH18" s="193"/>
    </row>
    <row r="19" spans="1:34" ht="15.75" thickBot="1" x14ac:dyDescent="0.3">
      <c r="A19" s="193"/>
      <c r="B19" s="491"/>
      <c r="C19" s="537"/>
      <c r="D19" s="491"/>
      <c r="E19" s="491"/>
      <c r="F19" s="491"/>
      <c r="G19" s="491"/>
      <c r="H19" s="491"/>
      <c r="I19" s="491"/>
      <c r="J19" s="491"/>
      <c r="K19" s="491"/>
      <c r="L19" s="491"/>
      <c r="M19" s="491"/>
      <c r="N19" s="491"/>
      <c r="O19" s="491"/>
      <c r="P19" s="491"/>
      <c r="Q19" s="491"/>
      <c r="R19" s="213"/>
      <c r="S19" s="220"/>
      <c r="T19" s="220"/>
      <c r="U19" s="214"/>
      <c r="V19" s="491"/>
      <c r="W19" s="491"/>
      <c r="X19" s="491"/>
      <c r="Y19" s="491"/>
      <c r="Z19" s="491"/>
      <c r="AA19" s="491"/>
      <c r="AB19" s="491"/>
      <c r="AC19" s="491"/>
      <c r="AD19" s="491"/>
      <c r="AE19" s="491"/>
      <c r="AF19" s="491"/>
      <c r="AG19" s="491"/>
      <c r="AH19" s="193"/>
    </row>
    <row r="20" spans="1:34" ht="15.75" thickBot="1" x14ac:dyDescent="0.3">
      <c r="A20" s="193"/>
      <c r="B20" s="492"/>
      <c r="C20" s="538"/>
      <c r="D20" s="492"/>
      <c r="E20" s="492"/>
      <c r="F20" s="492"/>
      <c r="G20" s="492"/>
      <c r="H20" s="492"/>
      <c r="I20" s="492"/>
      <c r="J20" s="492"/>
      <c r="K20" s="492"/>
      <c r="L20" s="492"/>
      <c r="M20" s="492"/>
      <c r="N20" s="492"/>
      <c r="O20" s="492"/>
      <c r="P20" s="492"/>
      <c r="Q20" s="492"/>
      <c r="R20" s="221"/>
      <c r="S20" s="493">
        <f>L16/12</f>
        <v>15.67</v>
      </c>
      <c r="T20" s="493"/>
      <c r="U20" s="222"/>
      <c r="V20" s="492"/>
      <c r="W20" s="492"/>
      <c r="X20" s="492"/>
      <c r="Y20" s="492"/>
      <c r="Z20" s="492"/>
      <c r="AA20" s="492"/>
      <c r="AB20" s="492"/>
      <c r="AC20" s="492"/>
      <c r="AD20" s="492"/>
      <c r="AE20" s="492"/>
      <c r="AF20" s="492"/>
      <c r="AG20" s="492"/>
      <c r="AH20" s="193"/>
    </row>
    <row r="21" spans="1:34" x14ac:dyDescent="0.25">
      <c r="A21" s="193"/>
      <c r="B21" s="490"/>
      <c r="C21" s="536" t="s">
        <v>340</v>
      </c>
      <c r="D21" s="490">
        <v>5</v>
      </c>
      <c r="E21" s="490">
        <v>0.625</v>
      </c>
      <c r="F21" s="490"/>
      <c r="G21" s="490">
        <v>0</v>
      </c>
      <c r="H21" s="490"/>
      <c r="I21" s="490">
        <f>ROUNDUP(80.31/0.833,0)</f>
        <v>97</v>
      </c>
      <c r="J21" s="490">
        <v>1</v>
      </c>
      <c r="K21" s="490"/>
      <c r="L21" s="490">
        <f>14*12</f>
        <v>168</v>
      </c>
      <c r="M21" s="490"/>
      <c r="N21" s="490"/>
      <c r="O21" s="490"/>
      <c r="P21" s="490"/>
      <c r="Q21" s="490"/>
      <c r="R21" s="213"/>
      <c r="S21" s="502"/>
      <c r="T21" s="502"/>
      <c r="U21" s="214"/>
      <c r="V21" s="490">
        <f>SUM(R21:U25)</f>
        <v>14</v>
      </c>
      <c r="W21" s="490">
        <f>+SUM(K21:Q25)</f>
        <v>168</v>
      </c>
      <c r="X21" s="490">
        <f>(+I21*J21*W21)/12</f>
        <v>1358</v>
      </c>
      <c r="Y21" s="490">
        <f t="shared" ref="Y21:AF21" si="3">IF(Y$3=$D21,$X21*Y$4,0)</f>
        <v>0</v>
      </c>
      <c r="Z21" s="490">
        <f t="shared" si="3"/>
        <v>0</v>
      </c>
      <c r="AA21" s="490">
        <f t="shared" si="3"/>
        <v>1416.394</v>
      </c>
      <c r="AB21" s="490">
        <f t="shared" si="3"/>
        <v>0</v>
      </c>
      <c r="AC21" s="490">
        <f t="shared" si="3"/>
        <v>0</v>
      </c>
      <c r="AD21" s="490">
        <f t="shared" si="3"/>
        <v>0</v>
      </c>
      <c r="AE21" s="490">
        <f t="shared" si="3"/>
        <v>0</v>
      </c>
      <c r="AF21" s="490">
        <f t="shared" si="3"/>
        <v>0</v>
      </c>
      <c r="AG21" s="490"/>
      <c r="AH21" s="193"/>
    </row>
    <row r="22" spans="1:34" x14ac:dyDescent="0.25">
      <c r="A22" s="193"/>
      <c r="B22" s="491"/>
      <c r="C22" s="537"/>
      <c r="D22" s="491"/>
      <c r="E22" s="491"/>
      <c r="F22" s="491"/>
      <c r="G22" s="491"/>
      <c r="H22" s="491"/>
      <c r="I22" s="491"/>
      <c r="J22" s="491"/>
      <c r="K22" s="491"/>
      <c r="L22" s="491"/>
      <c r="M22" s="491"/>
      <c r="N22" s="491"/>
      <c r="O22" s="491"/>
      <c r="P22" s="491"/>
      <c r="Q22" s="491"/>
      <c r="R22" s="213"/>
      <c r="S22" s="215"/>
      <c r="T22" s="216"/>
      <c r="U22" s="214"/>
      <c r="V22" s="491"/>
      <c r="W22" s="491"/>
      <c r="X22" s="491"/>
      <c r="Y22" s="491"/>
      <c r="Z22" s="491"/>
      <c r="AA22" s="491"/>
      <c r="AB22" s="491"/>
      <c r="AC22" s="491"/>
      <c r="AD22" s="491"/>
      <c r="AE22" s="491"/>
      <c r="AF22" s="491"/>
      <c r="AG22" s="491"/>
      <c r="AH22" s="193"/>
    </row>
    <row r="23" spans="1:34" x14ac:dyDescent="0.25">
      <c r="A23" s="193"/>
      <c r="B23" s="491"/>
      <c r="C23" s="537"/>
      <c r="D23" s="491"/>
      <c r="E23" s="491"/>
      <c r="F23" s="491"/>
      <c r="G23" s="491"/>
      <c r="H23" s="491"/>
      <c r="I23" s="491"/>
      <c r="J23" s="491"/>
      <c r="K23" s="491"/>
      <c r="L23" s="491"/>
      <c r="M23" s="491"/>
      <c r="N23" s="491"/>
      <c r="O23" s="491"/>
      <c r="P23" s="491"/>
      <c r="Q23" s="491"/>
      <c r="R23" s="217"/>
      <c r="S23" s="218"/>
      <c r="T23" s="218"/>
      <c r="U23" s="219"/>
      <c r="V23" s="491"/>
      <c r="W23" s="491"/>
      <c r="X23" s="491"/>
      <c r="Y23" s="491"/>
      <c r="Z23" s="491"/>
      <c r="AA23" s="491"/>
      <c r="AB23" s="491"/>
      <c r="AC23" s="491"/>
      <c r="AD23" s="491"/>
      <c r="AE23" s="491"/>
      <c r="AF23" s="491"/>
      <c r="AG23" s="491"/>
      <c r="AH23" s="193"/>
    </row>
    <row r="24" spans="1:34" ht="15.75" thickBot="1" x14ac:dyDescent="0.3">
      <c r="A24" s="193"/>
      <c r="B24" s="491"/>
      <c r="C24" s="537"/>
      <c r="D24" s="491"/>
      <c r="E24" s="491"/>
      <c r="F24" s="491"/>
      <c r="G24" s="491"/>
      <c r="H24" s="491"/>
      <c r="I24" s="491"/>
      <c r="J24" s="491"/>
      <c r="K24" s="491"/>
      <c r="L24" s="491"/>
      <c r="M24" s="491"/>
      <c r="N24" s="491"/>
      <c r="O24" s="491"/>
      <c r="P24" s="491"/>
      <c r="Q24" s="491"/>
      <c r="R24" s="213"/>
      <c r="S24" s="220"/>
      <c r="T24" s="220"/>
      <c r="U24" s="214"/>
      <c r="V24" s="491"/>
      <c r="W24" s="491"/>
      <c r="X24" s="491"/>
      <c r="Y24" s="491"/>
      <c r="Z24" s="491"/>
      <c r="AA24" s="491"/>
      <c r="AB24" s="491"/>
      <c r="AC24" s="491"/>
      <c r="AD24" s="491"/>
      <c r="AE24" s="491"/>
      <c r="AF24" s="491"/>
      <c r="AG24" s="491"/>
      <c r="AH24" s="193"/>
    </row>
    <row r="25" spans="1:34" ht="15.75" thickBot="1" x14ac:dyDescent="0.3">
      <c r="A25" s="193"/>
      <c r="B25" s="492"/>
      <c r="C25" s="538"/>
      <c r="D25" s="492"/>
      <c r="E25" s="492"/>
      <c r="F25" s="492"/>
      <c r="G25" s="492"/>
      <c r="H25" s="492"/>
      <c r="I25" s="492"/>
      <c r="J25" s="492"/>
      <c r="K25" s="492"/>
      <c r="L25" s="492"/>
      <c r="M25" s="492"/>
      <c r="N25" s="492"/>
      <c r="O25" s="492"/>
      <c r="P25" s="492"/>
      <c r="Q25" s="492"/>
      <c r="R25" s="221"/>
      <c r="S25" s="493">
        <f>L21/12</f>
        <v>14</v>
      </c>
      <c r="T25" s="493"/>
      <c r="U25" s="222"/>
      <c r="V25" s="492"/>
      <c r="W25" s="492"/>
      <c r="X25" s="492"/>
      <c r="Y25" s="492"/>
      <c r="Z25" s="492"/>
      <c r="AA25" s="492"/>
      <c r="AB25" s="492"/>
      <c r="AC25" s="492"/>
      <c r="AD25" s="492"/>
      <c r="AE25" s="492"/>
      <c r="AF25" s="492"/>
      <c r="AG25" s="492"/>
      <c r="AH25" s="193"/>
    </row>
    <row r="26" spans="1:34" x14ac:dyDescent="0.25">
      <c r="A26" s="193"/>
      <c r="B26" s="490"/>
      <c r="C26" s="533" t="s">
        <v>341</v>
      </c>
      <c r="D26" s="490">
        <v>5</v>
      </c>
      <c r="E26" s="490">
        <v>0.625</v>
      </c>
      <c r="F26" s="490"/>
      <c r="G26" s="490">
        <v>0</v>
      </c>
      <c r="H26" s="490"/>
      <c r="I26" s="490">
        <f>ROUNDUP(79.17/0.833,0)</f>
        <v>96</v>
      </c>
      <c r="J26" s="490">
        <v>1</v>
      </c>
      <c r="K26" s="490"/>
      <c r="L26" s="490">
        <f>51.67*12</f>
        <v>620.04</v>
      </c>
      <c r="M26" s="490"/>
      <c r="N26" s="490"/>
      <c r="O26" s="490"/>
      <c r="P26" s="490"/>
      <c r="Q26" s="490"/>
      <c r="R26" s="213"/>
      <c r="S26" s="502"/>
      <c r="T26" s="502"/>
      <c r="U26" s="214"/>
      <c r="V26" s="490">
        <f>SUM(R26:U30)</f>
        <v>51.669999999999995</v>
      </c>
      <c r="W26" s="490">
        <f>+SUM(K26:Q30)</f>
        <v>620.04</v>
      </c>
      <c r="X26" s="490">
        <f>(+I26*J26*W26)/12</f>
        <v>4960.32</v>
      </c>
      <c r="Y26" s="490">
        <f t="shared" ref="Y26:AF26" si="4">IF(Y$3=$D26,$X26*Y$4,0)</f>
        <v>0</v>
      </c>
      <c r="Z26" s="490">
        <f t="shared" si="4"/>
        <v>0</v>
      </c>
      <c r="AA26" s="490">
        <f t="shared" si="4"/>
        <v>5173.6137599999993</v>
      </c>
      <c r="AB26" s="490">
        <f t="shared" si="4"/>
        <v>0</v>
      </c>
      <c r="AC26" s="490">
        <f t="shared" si="4"/>
        <v>0</v>
      </c>
      <c r="AD26" s="490">
        <f t="shared" si="4"/>
        <v>0</v>
      </c>
      <c r="AE26" s="490">
        <f t="shared" si="4"/>
        <v>0</v>
      </c>
      <c r="AF26" s="490">
        <f t="shared" si="4"/>
        <v>0</v>
      </c>
      <c r="AG26" s="490"/>
      <c r="AH26" s="193"/>
    </row>
    <row r="27" spans="1:34" x14ac:dyDescent="0.25">
      <c r="A27" s="193"/>
      <c r="B27" s="491"/>
      <c r="C27" s="534"/>
      <c r="D27" s="491"/>
      <c r="E27" s="491"/>
      <c r="F27" s="491"/>
      <c r="G27" s="491"/>
      <c r="H27" s="491"/>
      <c r="I27" s="491"/>
      <c r="J27" s="491"/>
      <c r="K27" s="491"/>
      <c r="L27" s="491"/>
      <c r="M27" s="491"/>
      <c r="N27" s="491"/>
      <c r="O27" s="491"/>
      <c r="P27" s="491"/>
      <c r="Q27" s="491"/>
      <c r="R27" s="213"/>
      <c r="S27" s="215"/>
      <c r="T27" s="216"/>
      <c r="U27" s="214"/>
      <c r="V27" s="491"/>
      <c r="W27" s="491"/>
      <c r="X27" s="491"/>
      <c r="Y27" s="491"/>
      <c r="Z27" s="491"/>
      <c r="AA27" s="491"/>
      <c r="AB27" s="491"/>
      <c r="AC27" s="491"/>
      <c r="AD27" s="491"/>
      <c r="AE27" s="491"/>
      <c r="AF27" s="491"/>
      <c r="AG27" s="491"/>
      <c r="AH27" s="193"/>
    </row>
    <row r="28" spans="1:34" x14ac:dyDescent="0.25">
      <c r="A28" s="193"/>
      <c r="B28" s="491"/>
      <c r="C28" s="534"/>
      <c r="D28" s="491"/>
      <c r="E28" s="491"/>
      <c r="F28" s="491"/>
      <c r="G28" s="491"/>
      <c r="H28" s="491"/>
      <c r="I28" s="491"/>
      <c r="J28" s="491"/>
      <c r="K28" s="491"/>
      <c r="L28" s="491"/>
      <c r="M28" s="491"/>
      <c r="N28" s="491"/>
      <c r="O28" s="491"/>
      <c r="P28" s="491"/>
      <c r="Q28" s="491"/>
      <c r="R28" s="217"/>
      <c r="S28" s="218"/>
      <c r="T28" s="218"/>
      <c r="U28" s="219"/>
      <c r="V28" s="491"/>
      <c r="W28" s="491"/>
      <c r="X28" s="491"/>
      <c r="Y28" s="491"/>
      <c r="Z28" s="491"/>
      <c r="AA28" s="491"/>
      <c r="AB28" s="491"/>
      <c r="AC28" s="491"/>
      <c r="AD28" s="491"/>
      <c r="AE28" s="491"/>
      <c r="AF28" s="491"/>
      <c r="AG28" s="491"/>
      <c r="AH28" s="193"/>
    </row>
    <row r="29" spans="1:34" ht="15.75" thickBot="1" x14ac:dyDescent="0.3">
      <c r="A29" s="193"/>
      <c r="B29" s="491"/>
      <c r="C29" s="534"/>
      <c r="D29" s="491"/>
      <c r="E29" s="491"/>
      <c r="F29" s="491"/>
      <c r="G29" s="491"/>
      <c r="H29" s="491"/>
      <c r="I29" s="491"/>
      <c r="J29" s="491"/>
      <c r="K29" s="491"/>
      <c r="L29" s="491"/>
      <c r="M29" s="491"/>
      <c r="N29" s="491"/>
      <c r="O29" s="491"/>
      <c r="P29" s="491"/>
      <c r="Q29" s="491"/>
      <c r="R29" s="213"/>
      <c r="S29" s="220"/>
      <c r="T29" s="220"/>
      <c r="U29" s="214"/>
      <c r="V29" s="491"/>
      <c r="W29" s="491"/>
      <c r="X29" s="491"/>
      <c r="Y29" s="491"/>
      <c r="Z29" s="491"/>
      <c r="AA29" s="491"/>
      <c r="AB29" s="491"/>
      <c r="AC29" s="491"/>
      <c r="AD29" s="491"/>
      <c r="AE29" s="491"/>
      <c r="AF29" s="491"/>
      <c r="AG29" s="491"/>
      <c r="AH29" s="193"/>
    </row>
    <row r="30" spans="1:34" ht="15.75" thickBot="1" x14ac:dyDescent="0.3">
      <c r="A30" s="193"/>
      <c r="B30" s="492"/>
      <c r="C30" s="535"/>
      <c r="D30" s="492"/>
      <c r="E30" s="492"/>
      <c r="F30" s="492"/>
      <c r="G30" s="492"/>
      <c r="H30" s="492"/>
      <c r="I30" s="492"/>
      <c r="J30" s="492"/>
      <c r="K30" s="492"/>
      <c r="L30" s="492"/>
      <c r="M30" s="492"/>
      <c r="N30" s="492"/>
      <c r="O30" s="492"/>
      <c r="P30" s="492"/>
      <c r="Q30" s="492"/>
      <c r="R30" s="221"/>
      <c r="S30" s="493">
        <f>L26/12</f>
        <v>51.669999999999995</v>
      </c>
      <c r="T30" s="493"/>
      <c r="U30" s="222"/>
      <c r="V30" s="492"/>
      <c r="W30" s="492"/>
      <c r="X30" s="492"/>
      <c r="Y30" s="492"/>
      <c r="Z30" s="492"/>
      <c r="AA30" s="492"/>
      <c r="AB30" s="492"/>
      <c r="AC30" s="492"/>
      <c r="AD30" s="492"/>
      <c r="AE30" s="492"/>
      <c r="AF30" s="492"/>
      <c r="AG30" s="492"/>
      <c r="AH30" s="193"/>
    </row>
    <row r="31" spans="1:34" x14ac:dyDescent="0.25">
      <c r="A31" s="193"/>
      <c r="B31" s="490"/>
      <c r="C31" s="533" t="s">
        <v>342</v>
      </c>
      <c r="D31" s="490">
        <v>5</v>
      </c>
      <c r="E31" s="490">
        <v>0.625</v>
      </c>
      <c r="F31" s="490"/>
      <c r="G31" s="490">
        <v>0</v>
      </c>
      <c r="H31" s="490"/>
      <c r="I31" s="490">
        <f>ROUNDUP(51.67/1.33,0)</f>
        <v>39</v>
      </c>
      <c r="J31" s="490">
        <v>1</v>
      </c>
      <c r="K31" s="490"/>
      <c r="L31" s="490">
        <f>80.83*12</f>
        <v>969.96</v>
      </c>
      <c r="M31" s="490"/>
      <c r="N31" s="490"/>
      <c r="O31" s="490"/>
      <c r="P31" s="490"/>
      <c r="Q31" s="490"/>
      <c r="R31" s="213"/>
      <c r="S31" s="502"/>
      <c r="T31" s="502"/>
      <c r="U31" s="214"/>
      <c r="V31" s="490">
        <f>SUM(R31:U35)</f>
        <v>80.83</v>
      </c>
      <c r="W31" s="490">
        <f>+SUM(K31:Q35)</f>
        <v>969.96</v>
      </c>
      <c r="X31" s="490">
        <f>(+I31*J31*W31)/12</f>
        <v>3152.3700000000003</v>
      </c>
      <c r="Y31" s="490">
        <f t="shared" ref="Y31:AF31" si="5">IF(Y$3=$D31,$X31*Y$4,0)</f>
        <v>0</v>
      </c>
      <c r="Z31" s="490">
        <f t="shared" si="5"/>
        <v>0</v>
      </c>
      <c r="AA31" s="490">
        <f t="shared" si="5"/>
        <v>3287.92191</v>
      </c>
      <c r="AB31" s="490">
        <f t="shared" si="5"/>
        <v>0</v>
      </c>
      <c r="AC31" s="490">
        <f t="shared" si="5"/>
        <v>0</v>
      </c>
      <c r="AD31" s="490">
        <f t="shared" si="5"/>
        <v>0</v>
      </c>
      <c r="AE31" s="490">
        <f t="shared" si="5"/>
        <v>0</v>
      </c>
      <c r="AF31" s="490">
        <f t="shared" si="5"/>
        <v>0</v>
      </c>
      <c r="AG31" s="490"/>
      <c r="AH31" s="193"/>
    </row>
    <row r="32" spans="1:34" x14ac:dyDescent="0.25">
      <c r="A32" s="193"/>
      <c r="B32" s="491"/>
      <c r="C32" s="534"/>
      <c r="D32" s="491"/>
      <c r="E32" s="491"/>
      <c r="F32" s="491"/>
      <c r="G32" s="491"/>
      <c r="H32" s="491"/>
      <c r="I32" s="491"/>
      <c r="J32" s="491"/>
      <c r="K32" s="491"/>
      <c r="L32" s="491"/>
      <c r="M32" s="491"/>
      <c r="N32" s="491"/>
      <c r="O32" s="491"/>
      <c r="P32" s="491"/>
      <c r="Q32" s="491"/>
      <c r="R32" s="213"/>
      <c r="S32" s="215"/>
      <c r="T32" s="216"/>
      <c r="U32" s="214"/>
      <c r="V32" s="491"/>
      <c r="W32" s="491"/>
      <c r="X32" s="491"/>
      <c r="Y32" s="491"/>
      <c r="Z32" s="491"/>
      <c r="AA32" s="491"/>
      <c r="AB32" s="491"/>
      <c r="AC32" s="491"/>
      <c r="AD32" s="491"/>
      <c r="AE32" s="491"/>
      <c r="AF32" s="491"/>
      <c r="AG32" s="491"/>
      <c r="AH32" s="193"/>
    </row>
    <row r="33" spans="1:34" x14ac:dyDescent="0.25">
      <c r="A33" s="193"/>
      <c r="B33" s="491"/>
      <c r="C33" s="534"/>
      <c r="D33" s="491"/>
      <c r="E33" s="491"/>
      <c r="F33" s="491"/>
      <c r="G33" s="491"/>
      <c r="H33" s="491"/>
      <c r="I33" s="491"/>
      <c r="J33" s="491"/>
      <c r="K33" s="491"/>
      <c r="L33" s="491"/>
      <c r="M33" s="491"/>
      <c r="N33" s="491"/>
      <c r="O33" s="491"/>
      <c r="P33" s="491"/>
      <c r="Q33" s="491"/>
      <c r="R33" s="217"/>
      <c r="S33" s="218"/>
      <c r="T33" s="218"/>
      <c r="U33" s="219"/>
      <c r="V33" s="491"/>
      <c r="W33" s="491"/>
      <c r="X33" s="491"/>
      <c r="Y33" s="491"/>
      <c r="Z33" s="491"/>
      <c r="AA33" s="491"/>
      <c r="AB33" s="491"/>
      <c r="AC33" s="491"/>
      <c r="AD33" s="491"/>
      <c r="AE33" s="491"/>
      <c r="AF33" s="491"/>
      <c r="AG33" s="491"/>
      <c r="AH33" s="193"/>
    </row>
    <row r="34" spans="1:34" ht="15.75" thickBot="1" x14ac:dyDescent="0.3">
      <c r="A34" s="193"/>
      <c r="B34" s="491"/>
      <c r="C34" s="534"/>
      <c r="D34" s="491"/>
      <c r="E34" s="491"/>
      <c r="F34" s="491"/>
      <c r="G34" s="491"/>
      <c r="H34" s="491"/>
      <c r="I34" s="491"/>
      <c r="J34" s="491"/>
      <c r="K34" s="491"/>
      <c r="L34" s="491"/>
      <c r="M34" s="491"/>
      <c r="N34" s="491"/>
      <c r="O34" s="491"/>
      <c r="P34" s="491"/>
      <c r="Q34" s="491"/>
      <c r="R34" s="213"/>
      <c r="S34" s="220"/>
      <c r="T34" s="220"/>
      <c r="U34" s="214"/>
      <c r="V34" s="491"/>
      <c r="W34" s="491"/>
      <c r="X34" s="491"/>
      <c r="Y34" s="491"/>
      <c r="Z34" s="491"/>
      <c r="AA34" s="491"/>
      <c r="AB34" s="491"/>
      <c r="AC34" s="491"/>
      <c r="AD34" s="491"/>
      <c r="AE34" s="491"/>
      <c r="AF34" s="491"/>
      <c r="AG34" s="491"/>
      <c r="AH34" s="193"/>
    </row>
    <row r="35" spans="1:34" ht="15.75" thickBot="1" x14ac:dyDescent="0.3">
      <c r="A35" s="193"/>
      <c r="B35" s="492"/>
      <c r="C35" s="535"/>
      <c r="D35" s="492"/>
      <c r="E35" s="492"/>
      <c r="F35" s="492"/>
      <c r="G35" s="492"/>
      <c r="H35" s="492"/>
      <c r="I35" s="492"/>
      <c r="J35" s="492"/>
      <c r="K35" s="492"/>
      <c r="L35" s="492"/>
      <c r="M35" s="492"/>
      <c r="N35" s="492"/>
      <c r="O35" s="492"/>
      <c r="P35" s="492"/>
      <c r="Q35" s="492"/>
      <c r="R35" s="221"/>
      <c r="S35" s="493">
        <f>L31/12</f>
        <v>80.83</v>
      </c>
      <c r="T35" s="493"/>
      <c r="U35" s="222"/>
      <c r="V35" s="492"/>
      <c r="W35" s="492"/>
      <c r="X35" s="492"/>
      <c r="Y35" s="492"/>
      <c r="Z35" s="492"/>
      <c r="AA35" s="492"/>
      <c r="AB35" s="492"/>
      <c r="AC35" s="492"/>
      <c r="AD35" s="492"/>
      <c r="AE35" s="492"/>
      <c r="AF35" s="492"/>
      <c r="AG35" s="492"/>
      <c r="AH35" s="193"/>
    </row>
    <row r="36" spans="1:34" x14ac:dyDescent="0.25">
      <c r="A36" s="193"/>
      <c r="B36" s="490"/>
      <c r="C36" s="530" t="s">
        <v>343</v>
      </c>
      <c r="D36" s="490">
        <v>5</v>
      </c>
      <c r="E36" s="490">
        <v>0.625</v>
      </c>
      <c r="F36" s="490"/>
      <c r="G36" s="490">
        <v>0</v>
      </c>
      <c r="H36" s="490"/>
      <c r="I36" s="490">
        <f>ROUNDUP(32.33/0.67,0)</f>
        <v>49</v>
      </c>
      <c r="J36" s="490">
        <v>1</v>
      </c>
      <c r="K36" s="490"/>
      <c r="L36" s="490">
        <f>16*12</f>
        <v>192</v>
      </c>
      <c r="M36" s="490"/>
      <c r="N36" s="490"/>
      <c r="O36" s="490"/>
      <c r="P36" s="490"/>
      <c r="Q36" s="490"/>
      <c r="R36" s="213"/>
      <c r="S36" s="502"/>
      <c r="T36" s="502"/>
      <c r="U36" s="214"/>
      <c r="V36" s="490">
        <f>SUM(R36:U40)</f>
        <v>16</v>
      </c>
      <c r="W36" s="490">
        <f>+SUM(K36:Q40)</f>
        <v>192</v>
      </c>
      <c r="X36" s="490">
        <f>(+I36*J36*W36)/12</f>
        <v>784</v>
      </c>
      <c r="Y36" s="490">
        <f t="shared" ref="Y36:AF36" si="6">IF(Y$3=$D36,$X36*Y$4,0)</f>
        <v>0</v>
      </c>
      <c r="Z36" s="490">
        <f t="shared" si="6"/>
        <v>0</v>
      </c>
      <c r="AA36" s="490">
        <f t="shared" si="6"/>
        <v>817.71199999999999</v>
      </c>
      <c r="AB36" s="490">
        <f t="shared" si="6"/>
        <v>0</v>
      </c>
      <c r="AC36" s="490">
        <f t="shared" si="6"/>
        <v>0</v>
      </c>
      <c r="AD36" s="490">
        <f t="shared" si="6"/>
        <v>0</v>
      </c>
      <c r="AE36" s="490">
        <f t="shared" si="6"/>
        <v>0</v>
      </c>
      <c r="AF36" s="490">
        <f t="shared" si="6"/>
        <v>0</v>
      </c>
      <c r="AG36" s="490"/>
      <c r="AH36" s="193"/>
    </row>
    <row r="37" spans="1:34" x14ac:dyDescent="0.25">
      <c r="A37" s="193"/>
      <c r="B37" s="491"/>
      <c r="C37" s="531"/>
      <c r="D37" s="491"/>
      <c r="E37" s="491"/>
      <c r="F37" s="491"/>
      <c r="G37" s="491"/>
      <c r="H37" s="491"/>
      <c r="I37" s="491"/>
      <c r="J37" s="491"/>
      <c r="K37" s="491"/>
      <c r="L37" s="491"/>
      <c r="M37" s="491"/>
      <c r="N37" s="491"/>
      <c r="O37" s="491"/>
      <c r="P37" s="491"/>
      <c r="Q37" s="491"/>
      <c r="R37" s="213"/>
      <c r="S37" s="215"/>
      <c r="T37" s="216"/>
      <c r="U37" s="214"/>
      <c r="V37" s="491"/>
      <c r="W37" s="491"/>
      <c r="X37" s="491"/>
      <c r="Y37" s="491"/>
      <c r="Z37" s="491"/>
      <c r="AA37" s="491"/>
      <c r="AB37" s="491"/>
      <c r="AC37" s="491"/>
      <c r="AD37" s="491"/>
      <c r="AE37" s="491"/>
      <c r="AF37" s="491"/>
      <c r="AG37" s="491"/>
      <c r="AH37" s="193"/>
    </row>
    <row r="38" spans="1:34" x14ac:dyDescent="0.25">
      <c r="A38" s="193"/>
      <c r="B38" s="491"/>
      <c r="C38" s="531"/>
      <c r="D38" s="491"/>
      <c r="E38" s="491"/>
      <c r="F38" s="491"/>
      <c r="G38" s="491"/>
      <c r="H38" s="491"/>
      <c r="I38" s="491"/>
      <c r="J38" s="491"/>
      <c r="K38" s="491"/>
      <c r="L38" s="491"/>
      <c r="M38" s="491"/>
      <c r="N38" s="491"/>
      <c r="O38" s="491"/>
      <c r="P38" s="491"/>
      <c r="Q38" s="491"/>
      <c r="R38" s="217"/>
      <c r="S38" s="218"/>
      <c r="T38" s="218"/>
      <c r="U38" s="219"/>
      <c r="V38" s="491"/>
      <c r="W38" s="491"/>
      <c r="X38" s="491"/>
      <c r="Y38" s="491"/>
      <c r="Z38" s="491"/>
      <c r="AA38" s="491"/>
      <c r="AB38" s="491"/>
      <c r="AC38" s="491"/>
      <c r="AD38" s="491"/>
      <c r="AE38" s="491"/>
      <c r="AF38" s="491"/>
      <c r="AG38" s="491"/>
      <c r="AH38" s="193"/>
    </row>
    <row r="39" spans="1:34" ht="15.75" thickBot="1" x14ac:dyDescent="0.3">
      <c r="A39" s="193"/>
      <c r="B39" s="491"/>
      <c r="C39" s="531"/>
      <c r="D39" s="491"/>
      <c r="E39" s="491"/>
      <c r="F39" s="491"/>
      <c r="G39" s="491"/>
      <c r="H39" s="491"/>
      <c r="I39" s="491"/>
      <c r="J39" s="491"/>
      <c r="K39" s="491"/>
      <c r="L39" s="491"/>
      <c r="M39" s="491"/>
      <c r="N39" s="491"/>
      <c r="O39" s="491"/>
      <c r="P39" s="491"/>
      <c r="Q39" s="491"/>
      <c r="R39" s="213"/>
      <c r="S39" s="220"/>
      <c r="T39" s="220"/>
      <c r="U39" s="214"/>
      <c r="V39" s="491"/>
      <c r="W39" s="491"/>
      <c r="X39" s="491"/>
      <c r="Y39" s="491"/>
      <c r="Z39" s="491"/>
      <c r="AA39" s="491"/>
      <c r="AB39" s="491"/>
      <c r="AC39" s="491"/>
      <c r="AD39" s="491"/>
      <c r="AE39" s="491"/>
      <c r="AF39" s="491"/>
      <c r="AG39" s="491"/>
      <c r="AH39" s="193"/>
    </row>
    <row r="40" spans="1:34" ht="15.75" thickBot="1" x14ac:dyDescent="0.3">
      <c r="A40" s="193"/>
      <c r="B40" s="492"/>
      <c r="C40" s="532"/>
      <c r="D40" s="492"/>
      <c r="E40" s="492"/>
      <c r="F40" s="492"/>
      <c r="G40" s="492"/>
      <c r="H40" s="492"/>
      <c r="I40" s="492"/>
      <c r="J40" s="492"/>
      <c r="K40" s="492"/>
      <c r="L40" s="492"/>
      <c r="M40" s="492"/>
      <c r="N40" s="492"/>
      <c r="O40" s="492"/>
      <c r="P40" s="492"/>
      <c r="Q40" s="492"/>
      <c r="R40" s="221"/>
      <c r="S40" s="493">
        <f>L36/12</f>
        <v>16</v>
      </c>
      <c r="T40" s="493"/>
      <c r="U40" s="222"/>
      <c r="V40" s="492"/>
      <c r="W40" s="492"/>
      <c r="X40" s="492"/>
      <c r="Y40" s="492"/>
      <c r="Z40" s="492"/>
      <c r="AA40" s="492"/>
      <c r="AB40" s="492"/>
      <c r="AC40" s="492"/>
      <c r="AD40" s="492"/>
      <c r="AE40" s="492"/>
      <c r="AF40" s="492"/>
      <c r="AG40" s="492"/>
      <c r="AH40" s="193"/>
    </row>
    <row r="41" spans="1:34" x14ac:dyDescent="0.25">
      <c r="A41" s="193"/>
      <c r="B41" s="490"/>
      <c r="C41" s="530" t="s">
        <v>343</v>
      </c>
      <c r="D41" s="490">
        <v>5</v>
      </c>
      <c r="E41" s="490">
        <v>0.625</v>
      </c>
      <c r="F41" s="490"/>
      <c r="G41" s="490">
        <v>0</v>
      </c>
      <c r="H41" s="490"/>
      <c r="I41" s="490">
        <f>ROUNDUP(17.33/0.67,0)</f>
        <v>26</v>
      </c>
      <c r="J41" s="490">
        <v>1</v>
      </c>
      <c r="K41" s="490"/>
      <c r="L41" s="490">
        <f>16*12</f>
        <v>192</v>
      </c>
      <c r="M41" s="490"/>
      <c r="N41" s="490"/>
      <c r="O41" s="490"/>
      <c r="P41" s="490"/>
      <c r="Q41" s="490"/>
      <c r="R41" s="213"/>
      <c r="S41" s="502"/>
      <c r="T41" s="502"/>
      <c r="U41" s="214"/>
      <c r="V41" s="490">
        <f>SUM(R41:U45)</f>
        <v>16</v>
      </c>
      <c r="W41" s="490">
        <f>+SUM(K41:Q45)</f>
        <v>192</v>
      </c>
      <c r="X41" s="490">
        <f>(+I41*J41*W41)/12</f>
        <v>416</v>
      </c>
      <c r="Y41" s="490">
        <f t="shared" ref="Y41:AF41" si="7">IF(Y$3=$D41,$X41*Y$4,0)</f>
        <v>0</v>
      </c>
      <c r="Z41" s="490">
        <f t="shared" si="7"/>
        <v>0</v>
      </c>
      <c r="AA41" s="490">
        <f t="shared" si="7"/>
        <v>433.88799999999998</v>
      </c>
      <c r="AB41" s="490">
        <f t="shared" si="7"/>
        <v>0</v>
      </c>
      <c r="AC41" s="490">
        <f t="shared" si="7"/>
        <v>0</v>
      </c>
      <c r="AD41" s="490">
        <f t="shared" si="7"/>
        <v>0</v>
      </c>
      <c r="AE41" s="490">
        <f t="shared" si="7"/>
        <v>0</v>
      </c>
      <c r="AF41" s="490">
        <f t="shared" si="7"/>
        <v>0</v>
      </c>
      <c r="AG41" s="490"/>
      <c r="AH41" s="193"/>
    </row>
    <row r="42" spans="1:34" x14ac:dyDescent="0.25">
      <c r="A42" s="193"/>
      <c r="B42" s="491"/>
      <c r="C42" s="531"/>
      <c r="D42" s="491"/>
      <c r="E42" s="491"/>
      <c r="F42" s="491"/>
      <c r="G42" s="491"/>
      <c r="H42" s="491"/>
      <c r="I42" s="491"/>
      <c r="J42" s="491"/>
      <c r="K42" s="491"/>
      <c r="L42" s="491"/>
      <c r="M42" s="491"/>
      <c r="N42" s="491"/>
      <c r="O42" s="491"/>
      <c r="P42" s="491"/>
      <c r="Q42" s="491"/>
      <c r="R42" s="213"/>
      <c r="S42" s="215"/>
      <c r="T42" s="216"/>
      <c r="U42" s="214"/>
      <c r="V42" s="491"/>
      <c r="W42" s="491"/>
      <c r="X42" s="491"/>
      <c r="Y42" s="491"/>
      <c r="Z42" s="491"/>
      <c r="AA42" s="491"/>
      <c r="AB42" s="491"/>
      <c r="AC42" s="491"/>
      <c r="AD42" s="491"/>
      <c r="AE42" s="491"/>
      <c r="AF42" s="491"/>
      <c r="AG42" s="491"/>
      <c r="AH42" s="193"/>
    </row>
    <row r="43" spans="1:34" x14ac:dyDescent="0.25">
      <c r="A43" s="193"/>
      <c r="B43" s="491"/>
      <c r="C43" s="531"/>
      <c r="D43" s="491"/>
      <c r="E43" s="491"/>
      <c r="F43" s="491"/>
      <c r="G43" s="491"/>
      <c r="H43" s="491"/>
      <c r="I43" s="491"/>
      <c r="J43" s="491"/>
      <c r="K43" s="491"/>
      <c r="L43" s="491"/>
      <c r="M43" s="491"/>
      <c r="N43" s="491"/>
      <c r="O43" s="491"/>
      <c r="P43" s="491"/>
      <c r="Q43" s="491"/>
      <c r="R43" s="217"/>
      <c r="S43" s="218"/>
      <c r="T43" s="218"/>
      <c r="U43" s="219"/>
      <c r="V43" s="491"/>
      <c r="W43" s="491"/>
      <c r="X43" s="491"/>
      <c r="Y43" s="491"/>
      <c r="Z43" s="491"/>
      <c r="AA43" s="491"/>
      <c r="AB43" s="491"/>
      <c r="AC43" s="491"/>
      <c r="AD43" s="491"/>
      <c r="AE43" s="491"/>
      <c r="AF43" s="491"/>
      <c r="AG43" s="491"/>
      <c r="AH43" s="193"/>
    </row>
    <row r="44" spans="1:34" ht="15.75" thickBot="1" x14ac:dyDescent="0.3">
      <c r="A44" s="193"/>
      <c r="B44" s="491"/>
      <c r="C44" s="531"/>
      <c r="D44" s="491"/>
      <c r="E44" s="491"/>
      <c r="F44" s="491"/>
      <c r="G44" s="491"/>
      <c r="H44" s="491"/>
      <c r="I44" s="491"/>
      <c r="J44" s="491"/>
      <c r="K44" s="491"/>
      <c r="L44" s="491"/>
      <c r="M44" s="491"/>
      <c r="N44" s="491"/>
      <c r="O44" s="491"/>
      <c r="P44" s="491"/>
      <c r="Q44" s="491"/>
      <c r="R44" s="213"/>
      <c r="S44" s="220"/>
      <c r="T44" s="220"/>
      <c r="U44" s="214"/>
      <c r="V44" s="491"/>
      <c r="W44" s="491"/>
      <c r="X44" s="491"/>
      <c r="Y44" s="491"/>
      <c r="Z44" s="491"/>
      <c r="AA44" s="491"/>
      <c r="AB44" s="491"/>
      <c r="AC44" s="491"/>
      <c r="AD44" s="491"/>
      <c r="AE44" s="491"/>
      <c r="AF44" s="491"/>
      <c r="AG44" s="491"/>
      <c r="AH44" s="193"/>
    </row>
    <row r="45" spans="1:34" ht="15.75" thickBot="1" x14ac:dyDescent="0.3">
      <c r="A45" s="193"/>
      <c r="B45" s="492"/>
      <c r="C45" s="532"/>
      <c r="D45" s="492"/>
      <c r="E45" s="492"/>
      <c r="F45" s="492"/>
      <c r="G45" s="492"/>
      <c r="H45" s="492"/>
      <c r="I45" s="492"/>
      <c r="J45" s="492"/>
      <c r="K45" s="492"/>
      <c r="L45" s="492"/>
      <c r="M45" s="492"/>
      <c r="N45" s="492"/>
      <c r="O45" s="492"/>
      <c r="P45" s="492"/>
      <c r="Q45" s="492"/>
      <c r="R45" s="221"/>
      <c r="S45" s="493">
        <f>L41/12</f>
        <v>16</v>
      </c>
      <c r="T45" s="493"/>
      <c r="U45" s="222"/>
      <c r="V45" s="492"/>
      <c r="W45" s="492"/>
      <c r="X45" s="492"/>
      <c r="Y45" s="492"/>
      <c r="Z45" s="492"/>
      <c r="AA45" s="492"/>
      <c r="AB45" s="492"/>
      <c r="AC45" s="492"/>
      <c r="AD45" s="492"/>
      <c r="AE45" s="492"/>
      <c r="AF45" s="492"/>
      <c r="AG45" s="492"/>
      <c r="AH45" s="193"/>
    </row>
    <row r="46" spans="1:34" x14ac:dyDescent="0.25">
      <c r="A46" s="193"/>
      <c r="B46" s="490"/>
      <c r="C46" s="530" t="s">
        <v>343</v>
      </c>
      <c r="D46" s="490">
        <v>5</v>
      </c>
      <c r="E46" s="490">
        <v>0.625</v>
      </c>
      <c r="F46" s="490"/>
      <c r="G46" s="490">
        <v>0</v>
      </c>
      <c r="H46" s="490"/>
      <c r="I46" s="490">
        <f>ROUNDUP(20.67/0.67,0)</f>
        <v>31</v>
      </c>
      <c r="J46" s="490">
        <v>2</v>
      </c>
      <c r="K46" s="490"/>
      <c r="L46" s="490">
        <f>8*12</f>
        <v>96</v>
      </c>
      <c r="M46" s="490"/>
      <c r="N46" s="490"/>
      <c r="O46" s="490"/>
      <c r="P46" s="490"/>
      <c r="Q46" s="490"/>
      <c r="R46" s="213"/>
      <c r="S46" s="502"/>
      <c r="T46" s="502"/>
      <c r="U46" s="214"/>
      <c r="V46" s="490">
        <f>SUM(R46:U50)</f>
        <v>8</v>
      </c>
      <c r="W46" s="490">
        <f>+SUM(K46:Q50)</f>
        <v>96</v>
      </c>
      <c r="X46" s="490">
        <f>(+I46*J46*W46)/12</f>
        <v>496</v>
      </c>
      <c r="Y46" s="490">
        <f t="shared" ref="Y46:AF46" si="8">IF(Y$3=$D46,$X46*Y$4,0)</f>
        <v>0</v>
      </c>
      <c r="Z46" s="490">
        <f t="shared" si="8"/>
        <v>0</v>
      </c>
      <c r="AA46" s="490">
        <f t="shared" si="8"/>
        <v>517.32799999999997</v>
      </c>
      <c r="AB46" s="490">
        <f t="shared" si="8"/>
        <v>0</v>
      </c>
      <c r="AC46" s="490">
        <f t="shared" si="8"/>
        <v>0</v>
      </c>
      <c r="AD46" s="490">
        <f t="shared" si="8"/>
        <v>0</v>
      </c>
      <c r="AE46" s="490">
        <f t="shared" si="8"/>
        <v>0</v>
      </c>
      <c r="AF46" s="490">
        <f t="shared" si="8"/>
        <v>0</v>
      </c>
      <c r="AG46" s="490"/>
      <c r="AH46" s="193"/>
    </row>
    <row r="47" spans="1:34" x14ac:dyDescent="0.25">
      <c r="A47" s="193"/>
      <c r="B47" s="491"/>
      <c r="C47" s="531"/>
      <c r="D47" s="491"/>
      <c r="E47" s="491"/>
      <c r="F47" s="491"/>
      <c r="G47" s="491"/>
      <c r="H47" s="491"/>
      <c r="I47" s="491"/>
      <c r="J47" s="491"/>
      <c r="K47" s="491"/>
      <c r="L47" s="491"/>
      <c r="M47" s="491"/>
      <c r="N47" s="491"/>
      <c r="O47" s="491"/>
      <c r="P47" s="491"/>
      <c r="Q47" s="491"/>
      <c r="R47" s="213"/>
      <c r="S47" s="215"/>
      <c r="T47" s="216"/>
      <c r="U47" s="214"/>
      <c r="V47" s="491"/>
      <c r="W47" s="491"/>
      <c r="X47" s="491"/>
      <c r="Y47" s="491"/>
      <c r="Z47" s="491"/>
      <c r="AA47" s="491"/>
      <c r="AB47" s="491"/>
      <c r="AC47" s="491"/>
      <c r="AD47" s="491"/>
      <c r="AE47" s="491"/>
      <c r="AF47" s="491"/>
      <c r="AG47" s="491"/>
      <c r="AH47" s="193"/>
    </row>
    <row r="48" spans="1:34" x14ac:dyDescent="0.25">
      <c r="A48" s="193"/>
      <c r="B48" s="491"/>
      <c r="C48" s="531"/>
      <c r="D48" s="491"/>
      <c r="E48" s="491"/>
      <c r="F48" s="491"/>
      <c r="G48" s="491"/>
      <c r="H48" s="491"/>
      <c r="I48" s="491"/>
      <c r="J48" s="491"/>
      <c r="K48" s="491"/>
      <c r="L48" s="491"/>
      <c r="M48" s="491"/>
      <c r="N48" s="491"/>
      <c r="O48" s="491"/>
      <c r="P48" s="491"/>
      <c r="Q48" s="491"/>
      <c r="R48" s="217"/>
      <c r="S48" s="218"/>
      <c r="T48" s="218"/>
      <c r="U48" s="219"/>
      <c r="V48" s="491"/>
      <c r="W48" s="491"/>
      <c r="X48" s="491"/>
      <c r="Y48" s="491"/>
      <c r="Z48" s="491"/>
      <c r="AA48" s="491"/>
      <c r="AB48" s="491"/>
      <c r="AC48" s="491"/>
      <c r="AD48" s="491"/>
      <c r="AE48" s="491"/>
      <c r="AF48" s="491"/>
      <c r="AG48" s="491"/>
      <c r="AH48" s="193"/>
    </row>
    <row r="49" spans="1:34" ht="15.75" thickBot="1" x14ac:dyDescent="0.3">
      <c r="A49" s="193"/>
      <c r="B49" s="491"/>
      <c r="C49" s="531"/>
      <c r="D49" s="491"/>
      <c r="E49" s="491"/>
      <c r="F49" s="491"/>
      <c r="G49" s="491"/>
      <c r="H49" s="491"/>
      <c r="I49" s="491"/>
      <c r="J49" s="491"/>
      <c r="K49" s="491"/>
      <c r="L49" s="491"/>
      <c r="M49" s="491"/>
      <c r="N49" s="491"/>
      <c r="O49" s="491"/>
      <c r="P49" s="491"/>
      <c r="Q49" s="491"/>
      <c r="R49" s="213"/>
      <c r="S49" s="220"/>
      <c r="T49" s="220"/>
      <c r="U49" s="214"/>
      <c r="V49" s="491"/>
      <c r="W49" s="491"/>
      <c r="X49" s="491"/>
      <c r="Y49" s="491"/>
      <c r="Z49" s="491"/>
      <c r="AA49" s="491"/>
      <c r="AB49" s="491"/>
      <c r="AC49" s="491"/>
      <c r="AD49" s="491"/>
      <c r="AE49" s="491"/>
      <c r="AF49" s="491"/>
      <c r="AG49" s="491"/>
      <c r="AH49" s="193"/>
    </row>
    <row r="50" spans="1:34" x14ac:dyDescent="0.25">
      <c r="A50" s="193"/>
      <c r="B50" s="492"/>
      <c r="C50" s="532"/>
      <c r="D50" s="492"/>
      <c r="E50" s="492"/>
      <c r="F50" s="492"/>
      <c r="G50" s="492"/>
      <c r="H50" s="492"/>
      <c r="I50" s="492"/>
      <c r="J50" s="492"/>
      <c r="K50" s="492"/>
      <c r="L50" s="492"/>
      <c r="M50" s="492"/>
      <c r="N50" s="492"/>
      <c r="O50" s="492"/>
      <c r="P50" s="492"/>
      <c r="Q50" s="492"/>
      <c r="R50" s="221"/>
      <c r="S50" s="493">
        <f>L46/12</f>
        <v>8</v>
      </c>
      <c r="T50" s="493"/>
      <c r="U50" s="222"/>
      <c r="V50" s="492"/>
      <c r="W50" s="492"/>
      <c r="X50" s="492"/>
      <c r="Y50" s="492"/>
      <c r="Z50" s="492"/>
      <c r="AA50" s="492"/>
      <c r="AB50" s="492"/>
      <c r="AC50" s="492"/>
      <c r="AD50" s="492"/>
      <c r="AE50" s="492"/>
      <c r="AF50" s="492"/>
      <c r="AG50" s="492"/>
      <c r="AH50" s="193"/>
    </row>
    <row r="51" spans="1:34" x14ac:dyDescent="0.25">
      <c r="C51" s="94" t="s">
        <v>570</v>
      </c>
      <c r="Y51" s="349">
        <f>+SUM(Y5:AG50)</f>
        <v>13590.999240000001</v>
      </c>
      <c r="Z51" s="349"/>
      <c r="AA51" s="349"/>
      <c r="AB51" s="349"/>
      <c r="AC51" s="349"/>
      <c r="AD51" s="349"/>
      <c r="AE51" s="349"/>
      <c r="AF51" s="349"/>
      <c r="AG51" s="349"/>
    </row>
  </sheetData>
  <mergeCells count="293">
    <mergeCell ref="Y2:AF2"/>
    <mergeCell ref="AG2:AG4"/>
    <mergeCell ref="K3:K4"/>
    <mergeCell ref="L3:L4"/>
    <mergeCell ref="M3:M4"/>
    <mergeCell ref="N3:N4"/>
    <mergeCell ref="O3:O4"/>
    <mergeCell ref="P3:P4"/>
    <mergeCell ref="W2:W4"/>
    <mergeCell ref="X2:X4"/>
    <mergeCell ref="AE11:AE15"/>
    <mergeCell ref="AF11:AF15"/>
    <mergeCell ref="AG11:AG15"/>
    <mergeCell ref="S15:T15"/>
    <mergeCell ref="W11:W15"/>
    <mergeCell ref="X11:X15"/>
    <mergeCell ref="Y11:Y15"/>
    <mergeCell ref="Z11:Z15"/>
    <mergeCell ref="AA11:AA15"/>
    <mergeCell ref="AB11:AB15"/>
    <mergeCell ref="S11:T11"/>
    <mergeCell ref="V11:V15"/>
    <mergeCell ref="M16:M20"/>
    <mergeCell ref="H2:H4"/>
    <mergeCell ref="I2:I4"/>
    <mergeCell ref="J2:J4"/>
    <mergeCell ref="K2:Q2"/>
    <mergeCell ref="R2:U4"/>
    <mergeCell ref="V2:V4"/>
    <mergeCell ref="Q3:Q4"/>
    <mergeCell ref="M6:M10"/>
    <mergeCell ref="N6:N10"/>
    <mergeCell ref="O6:O10"/>
    <mergeCell ref="P6:P10"/>
    <mergeCell ref="Q6:Q10"/>
    <mergeCell ref="S6:T6"/>
    <mergeCell ref="V6:V10"/>
    <mergeCell ref="H6:H10"/>
    <mergeCell ref="I6:I10"/>
    <mergeCell ref="J6:J10"/>
    <mergeCell ref="K6:K10"/>
    <mergeCell ref="L6:L10"/>
    <mergeCell ref="B6:B10"/>
    <mergeCell ref="C6:C10"/>
    <mergeCell ref="D6:D10"/>
    <mergeCell ref="E6:E10"/>
    <mergeCell ref="F6:F10"/>
    <mergeCell ref="G6:G10"/>
    <mergeCell ref="B2:B4"/>
    <mergeCell ref="C2:C4"/>
    <mergeCell ref="D2:D4"/>
    <mergeCell ref="E2:E4"/>
    <mergeCell ref="F2:F4"/>
    <mergeCell ref="G2:G4"/>
    <mergeCell ref="AC6:AC10"/>
    <mergeCell ref="AD6:AD10"/>
    <mergeCell ref="AE6:AE10"/>
    <mergeCell ref="AF6:AF10"/>
    <mergeCell ref="AG6:AG10"/>
    <mergeCell ref="S10:T10"/>
    <mergeCell ref="W6:W10"/>
    <mergeCell ref="X6:X10"/>
    <mergeCell ref="Y6:Y10"/>
    <mergeCell ref="Z6:Z10"/>
    <mergeCell ref="AA6:AA10"/>
    <mergeCell ref="AB6:AB10"/>
    <mergeCell ref="B16:B20"/>
    <mergeCell ref="C16:C20"/>
    <mergeCell ref="D16:D20"/>
    <mergeCell ref="E16:E20"/>
    <mergeCell ref="F16:F20"/>
    <mergeCell ref="G16:G20"/>
    <mergeCell ref="AC11:AC15"/>
    <mergeCell ref="AD11:AD15"/>
    <mergeCell ref="N11:N15"/>
    <mergeCell ref="O11:O15"/>
    <mergeCell ref="P11:P15"/>
    <mergeCell ref="Q11:Q15"/>
    <mergeCell ref="H11:H15"/>
    <mergeCell ref="I11:I15"/>
    <mergeCell ref="J11:J15"/>
    <mergeCell ref="K11:K15"/>
    <mergeCell ref="L11:L15"/>
    <mergeCell ref="M11:M15"/>
    <mergeCell ref="B11:B15"/>
    <mergeCell ref="C11:C15"/>
    <mergeCell ref="D11:D15"/>
    <mergeCell ref="E11:E15"/>
    <mergeCell ref="F11:F15"/>
    <mergeCell ref="G11:G15"/>
    <mergeCell ref="G21:G25"/>
    <mergeCell ref="AC16:AC20"/>
    <mergeCell ref="AD16:AD20"/>
    <mergeCell ref="AE16:AE20"/>
    <mergeCell ref="AF16:AF20"/>
    <mergeCell ref="AG16:AG20"/>
    <mergeCell ref="S20:T20"/>
    <mergeCell ref="W16:W20"/>
    <mergeCell ref="X16:X20"/>
    <mergeCell ref="Y16:Y20"/>
    <mergeCell ref="Z16:Z20"/>
    <mergeCell ref="AA16:AA20"/>
    <mergeCell ref="AB16:AB20"/>
    <mergeCell ref="N16:N20"/>
    <mergeCell ref="O16:O20"/>
    <mergeCell ref="P16:P20"/>
    <mergeCell ref="Q16:Q20"/>
    <mergeCell ref="S16:T16"/>
    <mergeCell ref="V16:V20"/>
    <mergeCell ref="H16:H20"/>
    <mergeCell ref="I16:I20"/>
    <mergeCell ref="J16:J20"/>
    <mergeCell ref="K16:K20"/>
    <mergeCell ref="L16:L20"/>
    <mergeCell ref="AE21:AE25"/>
    <mergeCell ref="AF21:AF25"/>
    <mergeCell ref="AG21:AG25"/>
    <mergeCell ref="S25:T25"/>
    <mergeCell ref="W21:W25"/>
    <mergeCell ref="X21:X25"/>
    <mergeCell ref="Y21:Y25"/>
    <mergeCell ref="Z21:Z25"/>
    <mergeCell ref="AA21:AA25"/>
    <mergeCell ref="AB21:AB25"/>
    <mergeCell ref="S21:T21"/>
    <mergeCell ref="V21:V25"/>
    <mergeCell ref="M26:M30"/>
    <mergeCell ref="B26:B30"/>
    <mergeCell ref="C26:C30"/>
    <mergeCell ref="D26:D30"/>
    <mergeCell ref="E26:E30"/>
    <mergeCell ref="F26:F30"/>
    <mergeCell ref="G26:G30"/>
    <mergeCell ref="AC21:AC25"/>
    <mergeCell ref="AD21:AD25"/>
    <mergeCell ref="N21:N25"/>
    <mergeCell ref="O21:O25"/>
    <mergeCell ref="P21:P25"/>
    <mergeCell ref="Q21:Q25"/>
    <mergeCell ref="H21:H25"/>
    <mergeCell ref="I21:I25"/>
    <mergeCell ref="J21:J25"/>
    <mergeCell ref="K21:K25"/>
    <mergeCell ref="L21:L25"/>
    <mergeCell ref="M21:M25"/>
    <mergeCell ref="B21:B25"/>
    <mergeCell ref="C21:C25"/>
    <mergeCell ref="D21:D25"/>
    <mergeCell ref="E21:E25"/>
    <mergeCell ref="F21:F25"/>
    <mergeCell ref="G31:G35"/>
    <mergeCell ref="AC26:AC30"/>
    <mergeCell ref="AD26:AD30"/>
    <mergeCell ref="AE26:AE30"/>
    <mergeCell ref="AF26:AF30"/>
    <mergeCell ref="AG26:AG30"/>
    <mergeCell ref="S30:T30"/>
    <mergeCell ref="W26:W30"/>
    <mergeCell ref="X26:X30"/>
    <mergeCell ref="Y26:Y30"/>
    <mergeCell ref="Z26:Z30"/>
    <mergeCell ref="AA26:AA30"/>
    <mergeCell ref="AB26:AB30"/>
    <mergeCell ref="N26:N30"/>
    <mergeCell ref="O26:O30"/>
    <mergeCell ref="P26:P30"/>
    <mergeCell ref="Q26:Q30"/>
    <mergeCell ref="S26:T26"/>
    <mergeCell ref="V26:V30"/>
    <mergeCell ref="H26:H30"/>
    <mergeCell ref="I26:I30"/>
    <mergeCell ref="J26:J30"/>
    <mergeCell ref="K26:K30"/>
    <mergeCell ref="L26:L30"/>
    <mergeCell ref="AE31:AE35"/>
    <mergeCell ref="AF31:AF35"/>
    <mergeCell ref="AG31:AG35"/>
    <mergeCell ref="S35:T35"/>
    <mergeCell ref="W31:W35"/>
    <mergeCell ref="X31:X35"/>
    <mergeCell ref="Y31:Y35"/>
    <mergeCell ref="Z31:Z35"/>
    <mergeCell ref="AA31:AA35"/>
    <mergeCell ref="AB31:AB35"/>
    <mergeCell ref="S31:T31"/>
    <mergeCell ref="V31:V35"/>
    <mergeCell ref="M36:M40"/>
    <mergeCell ref="B36:B40"/>
    <mergeCell ref="C36:C40"/>
    <mergeCell ref="D36:D40"/>
    <mergeCell ref="E36:E40"/>
    <mergeCell ref="F36:F40"/>
    <mergeCell ref="G36:G40"/>
    <mergeCell ref="AC31:AC35"/>
    <mergeCell ref="AD31:AD35"/>
    <mergeCell ref="N31:N35"/>
    <mergeCell ref="O31:O35"/>
    <mergeCell ref="P31:P35"/>
    <mergeCell ref="Q31:Q35"/>
    <mergeCell ref="H31:H35"/>
    <mergeCell ref="I31:I35"/>
    <mergeCell ref="J31:J35"/>
    <mergeCell ref="K31:K35"/>
    <mergeCell ref="L31:L35"/>
    <mergeCell ref="M31:M35"/>
    <mergeCell ref="B31:B35"/>
    <mergeCell ref="C31:C35"/>
    <mergeCell ref="D31:D35"/>
    <mergeCell ref="E31:E35"/>
    <mergeCell ref="F31:F35"/>
    <mergeCell ref="G41:G45"/>
    <mergeCell ref="AC36:AC40"/>
    <mergeCell ref="AD36:AD40"/>
    <mergeCell ref="AE36:AE40"/>
    <mergeCell ref="AF36:AF40"/>
    <mergeCell ref="AG36:AG40"/>
    <mergeCell ref="S40:T40"/>
    <mergeCell ref="W36:W40"/>
    <mergeCell ref="X36:X40"/>
    <mergeCell ref="Y36:Y40"/>
    <mergeCell ref="Z36:Z40"/>
    <mergeCell ref="AA36:AA40"/>
    <mergeCell ref="AB36:AB40"/>
    <mergeCell ref="N36:N40"/>
    <mergeCell ref="O36:O40"/>
    <mergeCell ref="P36:P40"/>
    <mergeCell ref="Q36:Q40"/>
    <mergeCell ref="S36:T36"/>
    <mergeCell ref="V36:V40"/>
    <mergeCell ref="H36:H40"/>
    <mergeCell ref="I36:I40"/>
    <mergeCell ref="J36:J40"/>
    <mergeCell ref="K36:K40"/>
    <mergeCell ref="L36:L40"/>
    <mergeCell ref="AF41:AF45"/>
    <mergeCell ref="AG41:AG45"/>
    <mergeCell ref="S45:T45"/>
    <mergeCell ref="W41:W45"/>
    <mergeCell ref="X41:X45"/>
    <mergeCell ref="Y41:Y45"/>
    <mergeCell ref="Z41:Z45"/>
    <mergeCell ref="AA41:AA45"/>
    <mergeCell ref="AB41:AB45"/>
    <mergeCell ref="S41:T41"/>
    <mergeCell ref="V41:V45"/>
    <mergeCell ref="B46:B50"/>
    <mergeCell ref="C46:C50"/>
    <mergeCell ref="D46:D50"/>
    <mergeCell ref="E46:E50"/>
    <mergeCell ref="F46:F50"/>
    <mergeCell ref="G46:G50"/>
    <mergeCell ref="AC41:AC45"/>
    <mergeCell ref="AD41:AD45"/>
    <mergeCell ref="AE41:AE45"/>
    <mergeCell ref="N41:N45"/>
    <mergeCell ref="O41:O45"/>
    <mergeCell ref="P41:P45"/>
    <mergeCell ref="Q41:Q45"/>
    <mergeCell ref="H41:H45"/>
    <mergeCell ref="I41:I45"/>
    <mergeCell ref="J41:J45"/>
    <mergeCell ref="K41:K45"/>
    <mergeCell ref="L41:L45"/>
    <mergeCell ref="M41:M45"/>
    <mergeCell ref="B41:B45"/>
    <mergeCell ref="C41:C45"/>
    <mergeCell ref="D41:D45"/>
    <mergeCell ref="E41:E45"/>
    <mergeCell ref="F41:F45"/>
    <mergeCell ref="N46:N50"/>
    <mergeCell ref="O46:O50"/>
    <mergeCell ref="P46:P50"/>
    <mergeCell ref="Q46:Q50"/>
    <mergeCell ref="S46:T46"/>
    <mergeCell ref="V46:V50"/>
    <mergeCell ref="H46:H50"/>
    <mergeCell ref="I46:I50"/>
    <mergeCell ref="J46:J50"/>
    <mergeCell ref="K46:K50"/>
    <mergeCell ref="L46:L50"/>
    <mergeCell ref="M46:M50"/>
    <mergeCell ref="AC46:AC50"/>
    <mergeCell ref="AD46:AD50"/>
    <mergeCell ref="AE46:AE50"/>
    <mergeCell ref="AF46:AF50"/>
    <mergeCell ref="AG46:AG50"/>
    <mergeCell ref="S50:T50"/>
    <mergeCell ref="W46:W50"/>
    <mergeCell ref="X46:X50"/>
    <mergeCell ref="Y46:Y50"/>
    <mergeCell ref="Z46:Z50"/>
    <mergeCell ref="AA46:AA50"/>
    <mergeCell ref="AB46:AB5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8EE53-1959-41C4-B9B1-62ED321F5911}">
  <dimension ref="A1:N580"/>
  <sheetViews>
    <sheetView topLeftCell="A350" zoomScale="55" zoomScaleNormal="55" workbookViewId="0">
      <selection activeCell="H262" sqref="H262"/>
    </sheetView>
  </sheetViews>
  <sheetFormatPr defaultRowHeight="15" outlineLevelRow="1" x14ac:dyDescent="0.25"/>
  <cols>
    <col min="2" max="2" width="38.7109375" bestFit="1" customWidth="1"/>
    <col min="3" max="3" width="39" bestFit="1" customWidth="1"/>
    <col min="5" max="5" width="9.42578125" bestFit="1" customWidth="1"/>
    <col min="7" max="7" width="12.85546875" style="323" bestFit="1" customWidth="1"/>
    <col min="8" max="8" width="10" bestFit="1" customWidth="1"/>
    <col min="9" max="9" width="14.28515625" bestFit="1" customWidth="1"/>
    <col min="15" max="15" width="9.42578125" bestFit="1" customWidth="1"/>
  </cols>
  <sheetData>
    <row r="1" spans="1:14" x14ac:dyDescent="0.25">
      <c r="A1" s="543" t="s">
        <v>0</v>
      </c>
      <c r="B1" s="543" t="s">
        <v>315</v>
      </c>
      <c r="C1" s="541" t="s">
        <v>316</v>
      </c>
      <c r="D1" s="549" t="s">
        <v>27</v>
      </c>
      <c r="E1" s="551" t="s">
        <v>317</v>
      </c>
      <c r="F1" s="552"/>
      <c r="G1" s="552"/>
      <c r="H1" s="553"/>
      <c r="I1" s="236" t="s">
        <v>318</v>
      </c>
      <c r="J1" s="543" t="s">
        <v>319</v>
      </c>
      <c r="K1" s="541" t="s">
        <v>6</v>
      </c>
      <c r="L1" s="543" t="s">
        <v>320</v>
      </c>
      <c r="M1" s="235"/>
      <c r="N1" s="195"/>
    </row>
    <row r="2" spans="1:14" x14ac:dyDescent="0.25">
      <c r="A2" s="544"/>
      <c r="B2" s="544"/>
      <c r="C2" s="542"/>
      <c r="D2" s="550"/>
      <c r="E2" s="237" t="s">
        <v>321</v>
      </c>
      <c r="F2" s="238" t="s">
        <v>257</v>
      </c>
      <c r="G2" s="317" t="s">
        <v>259</v>
      </c>
      <c r="H2" s="237" t="s">
        <v>136</v>
      </c>
      <c r="I2" s="237"/>
      <c r="J2" s="544"/>
      <c r="K2" s="542"/>
      <c r="L2" s="544"/>
      <c r="M2" s="235"/>
      <c r="N2" s="195" t="s">
        <v>322</v>
      </c>
    </row>
    <row r="3" spans="1:14" x14ac:dyDescent="0.25">
      <c r="A3" s="239"/>
      <c r="B3" s="250" t="s">
        <v>346</v>
      </c>
      <c r="C3" s="250"/>
      <c r="D3" s="251"/>
      <c r="E3" s="251"/>
      <c r="F3" s="251"/>
      <c r="G3" s="318"/>
      <c r="H3" s="251"/>
      <c r="I3" s="251"/>
      <c r="J3" s="252"/>
      <c r="K3" s="250"/>
      <c r="L3" s="250"/>
      <c r="M3" s="253"/>
      <c r="N3" s="232"/>
    </row>
    <row r="4" spans="1:14" x14ac:dyDescent="0.25">
      <c r="A4" s="239">
        <v>1</v>
      </c>
      <c r="B4" s="250" t="s">
        <v>13</v>
      </c>
      <c r="C4" s="250"/>
      <c r="D4" s="251"/>
      <c r="E4" s="251"/>
      <c r="F4" s="251"/>
      <c r="G4" s="318"/>
      <c r="H4" s="251"/>
      <c r="I4" s="251">
        <f>SUM(I6:I45)</f>
        <v>419.49208777777778</v>
      </c>
      <c r="J4" s="252" t="s">
        <v>323</v>
      </c>
      <c r="K4" s="250"/>
      <c r="L4" s="250"/>
      <c r="M4" s="253"/>
      <c r="N4" s="232"/>
    </row>
    <row r="5" spans="1:14" x14ac:dyDescent="0.25">
      <c r="A5" s="240"/>
      <c r="B5" s="51" t="s">
        <v>324</v>
      </c>
      <c r="C5" s="241"/>
      <c r="D5" s="242"/>
      <c r="E5" s="242"/>
      <c r="F5" s="242"/>
      <c r="G5" s="319"/>
      <c r="H5" s="242"/>
      <c r="I5" s="242"/>
      <c r="J5" s="243"/>
      <c r="K5" s="241"/>
      <c r="L5" s="241"/>
      <c r="M5" s="244"/>
      <c r="N5" s="195"/>
    </row>
    <row r="6" spans="1:14" x14ac:dyDescent="0.25">
      <c r="A6" s="240"/>
      <c r="B6" s="245" t="s">
        <v>325</v>
      </c>
      <c r="C6" s="241" t="s">
        <v>326</v>
      </c>
      <c r="D6" s="242">
        <v>1</v>
      </c>
      <c r="E6" s="242">
        <v>20.71</v>
      </c>
      <c r="F6" s="242">
        <v>4.5</v>
      </c>
      <c r="G6" s="319">
        <v>5</v>
      </c>
      <c r="H6" s="242">
        <f t="shared" ref="H6:H12" si="0">+PRODUCT(D6:G6)</f>
        <v>465.97500000000002</v>
      </c>
      <c r="I6" s="242">
        <f t="shared" ref="I6:I12" si="1">H6/27</f>
        <v>17.258333333333333</v>
      </c>
      <c r="J6" s="243"/>
      <c r="K6" s="241"/>
      <c r="L6" s="241"/>
      <c r="M6" s="244"/>
      <c r="N6" s="195"/>
    </row>
    <row r="7" spans="1:14" x14ac:dyDescent="0.25">
      <c r="A7" s="240"/>
      <c r="B7" s="245" t="s">
        <v>325</v>
      </c>
      <c r="C7" s="244" t="s">
        <v>347</v>
      </c>
      <c r="D7" s="242">
        <v>1</v>
      </c>
      <c r="E7" s="242">
        <v>6.17</v>
      </c>
      <c r="F7" s="242">
        <v>4.5</v>
      </c>
      <c r="G7" s="319">
        <v>5</v>
      </c>
      <c r="H7" s="242">
        <f t="shared" si="0"/>
        <v>138.82499999999999</v>
      </c>
      <c r="I7" s="242">
        <f t="shared" si="1"/>
        <v>5.1416666666666666</v>
      </c>
      <c r="J7" s="243"/>
      <c r="K7" s="241"/>
      <c r="L7" s="241"/>
      <c r="M7" s="244"/>
      <c r="N7" s="195"/>
    </row>
    <row r="8" spans="1:14" x14ac:dyDescent="0.25">
      <c r="A8" s="240"/>
      <c r="B8" s="245" t="s">
        <v>325</v>
      </c>
      <c r="C8" s="244" t="s">
        <v>348</v>
      </c>
      <c r="D8" s="242">
        <v>1</v>
      </c>
      <c r="E8" s="242">
        <f>16.67</f>
        <v>16.670000000000002</v>
      </c>
      <c r="F8" s="242">
        <v>4.5</v>
      </c>
      <c r="G8" s="319">
        <v>5</v>
      </c>
      <c r="H8" s="242">
        <f t="shared" si="0"/>
        <v>375.07500000000005</v>
      </c>
      <c r="I8" s="242">
        <f t="shared" si="1"/>
        <v>13.891666666666667</v>
      </c>
      <c r="J8" s="243"/>
      <c r="K8" s="241"/>
      <c r="L8" s="241"/>
      <c r="M8" s="244"/>
      <c r="N8" s="195"/>
    </row>
    <row r="9" spans="1:14" x14ac:dyDescent="0.25">
      <c r="A9" s="240"/>
      <c r="B9" s="245" t="s">
        <v>325</v>
      </c>
      <c r="C9" s="244" t="s">
        <v>349</v>
      </c>
      <c r="D9" s="242">
        <v>1</v>
      </c>
      <c r="E9" s="242">
        <v>4.17</v>
      </c>
      <c r="F9" s="242">
        <v>4.5</v>
      </c>
      <c r="G9" s="319">
        <v>5</v>
      </c>
      <c r="H9" s="242">
        <f t="shared" si="0"/>
        <v>93.825000000000003</v>
      </c>
      <c r="I9" s="242">
        <f t="shared" si="1"/>
        <v>3.4750000000000001</v>
      </c>
      <c r="J9" s="243"/>
      <c r="K9" s="241"/>
      <c r="L9" s="241"/>
      <c r="M9" s="244"/>
      <c r="N9" s="195"/>
    </row>
    <row r="10" spans="1:14" x14ac:dyDescent="0.25">
      <c r="A10" s="240"/>
      <c r="B10" s="245" t="s">
        <v>325</v>
      </c>
      <c r="C10" s="244" t="s">
        <v>350</v>
      </c>
      <c r="D10" s="242">
        <v>1</v>
      </c>
      <c r="E10" s="242">
        <v>3.55</v>
      </c>
      <c r="F10" s="242">
        <v>4.5</v>
      </c>
      <c r="G10" s="319">
        <v>5</v>
      </c>
      <c r="H10" s="242">
        <f t="shared" si="0"/>
        <v>79.875</v>
      </c>
      <c r="I10" s="242">
        <f t="shared" si="1"/>
        <v>2.9583333333333335</v>
      </c>
      <c r="J10" s="243"/>
      <c r="K10" s="241"/>
      <c r="L10" s="241"/>
      <c r="M10" s="242"/>
      <c r="N10" s="195"/>
    </row>
    <row r="11" spans="1:14" x14ac:dyDescent="0.25">
      <c r="A11" s="240"/>
      <c r="B11" s="245" t="s">
        <v>325</v>
      </c>
      <c r="C11" s="244" t="s">
        <v>351</v>
      </c>
      <c r="D11" s="242">
        <v>1</v>
      </c>
      <c r="E11" s="242">
        <v>8.9499999999999993</v>
      </c>
      <c r="F11" s="242">
        <v>4.5</v>
      </c>
      <c r="G11" s="319">
        <v>5</v>
      </c>
      <c r="H11" s="242">
        <f t="shared" si="0"/>
        <v>201.375</v>
      </c>
      <c r="I11" s="242">
        <f t="shared" si="1"/>
        <v>7.458333333333333</v>
      </c>
      <c r="J11" s="243"/>
      <c r="K11" s="241"/>
      <c r="L11" s="241"/>
      <c r="M11" s="244"/>
      <c r="N11" s="195"/>
    </row>
    <row r="12" spans="1:14" x14ac:dyDescent="0.25">
      <c r="A12" s="240"/>
      <c r="B12" s="245" t="s">
        <v>325</v>
      </c>
      <c r="C12" s="241" t="s">
        <v>326</v>
      </c>
      <c r="D12" s="242">
        <v>1</v>
      </c>
      <c r="E12" s="242">
        <v>32.5</v>
      </c>
      <c r="F12" s="242">
        <v>4.5</v>
      </c>
      <c r="G12" s="319">
        <v>5</v>
      </c>
      <c r="H12" s="242">
        <f t="shared" si="0"/>
        <v>731.25</v>
      </c>
      <c r="I12" s="242">
        <f t="shared" si="1"/>
        <v>27.083333333333332</v>
      </c>
      <c r="J12" s="243"/>
      <c r="K12" s="241"/>
      <c r="L12" s="241"/>
      <c r="M12" s="242"/>
      <c r="N12" s="195"/>
    </row>
    <row r="13" spans="1:14" x14ac:dyDescent="0.25">
      <c r="A13" s="240"/>
      <c r="B13" s="245"/>
      <c r="C13" s="241"/>
      <c r="D13" s="242"/>
      <c r="E13" s="242"/>
      <c r="F13" s="242"/>
      <c r="G13" s="319"/>
      <c r="H13" s="242"/>
      <c r="I13" s="242"/>
      <c r="J13" s="243"/>
      <c r="K13" s="241"/>
      <c r="L13" s="241"/>
      <c r="M13" s="244"/>
      <c r="N13" s="195"/>
    </row>
    <row r="14" spans="1:14" ht="16.5" customHeight="1" x14ac:dyDescent="0.25">
      <c r="A14" s="240"/>
      <c r="B14" s="51" t="s">
        <v>328</v>
      </c>
      <c r="C14" s="241"/>
      <c r="D14" s="242"/>
      <c r="E14" s="242"/>
      <c r="F14" s="242"/>
      <c r="G14" s="319"/>
      <c r="H14" s="242"/>
      <c r="I14" s="242"/>
      <c r="J14" s="243"/>
      <c r="K14" s="241"/>
      <c r="L14" s="241"/>
      <c r="M14" s="244"/>
      <c r="N14" s="195"/>
    </row>
    <row r="15" spans="1:14" ht="16.5" customHeight="1" x14ac:dyDescent="0.25">
      <c r="A15" s="240"/>
      <c r="B15" s="245" t="s">
        <v>354</v>
      </c>
      <c r="C15" s="241" t="s">
        <v>329</v>
      </c>
      <c r="D15" s="242">
        <v>1</v>
      </c>
      <c r="E15" s="242">
        <v>19.34</v>
      </c>
      <c r="F15" s="242">
        <v>4.5</v>
      </c>
      <c r="G15" s="319">
        <v>5</v>
      </c>
      <c r="H15" s="242">
        <f t="shared" ref="H15:H23" si="2">+PRODUCT(D15:G15)</f>
        <v>435.15</v>
      </c>
      <c r="I15" s="242">
        <f t="shared" ref="I15:I23" si="3">H15/27</f>
        <v>16.116666666666667</v>
      </c>
      <c r="J15" s="246"/>
      <c r="K15" s="241"/>
      <c r="L15" s="247"/>
      <c r="M15" s="248"/>
      <c r="N15" s="195"/>
    </row>
    <row r="16" spans="1:14" ht="16.5" customHeight="1" x14ac:dyDescent="0.25">
      <c r="A16" s="240"/>
      <c r="B16" s="245" t="s">
        <v>330</v>
      </c>
      <c r="C16" s="244" t="s">
        <v>327</v>
      </c>
      <c r="D16" s="242">
        <v>1</v>
      </c>
      <c r="E16" s="242">
        <v>6.02</v>
      </c>
      <c r="F16" s="242">
        <v>4.5</v>
      </c>
      <c r="G16" s="319">
        <v>5</v>
      </c>
      <c r="H16" s="242">
        <f t="shared" si="2"/>
        <v>135.44999999999999</v>
      </c>
      <c r="I16" s="242">
        <f t="shared" si="3"/>
        <v>5.0166666666666666</v>
      </c>
      <c r="J16" s="243"/>
      <c r="K16" s="241"/>
      <c r="L16" s="241"/>
      <c r="M16" s="244"/>
      <c r="N16" s="195"/>
    </row>
    <row r="17" spans="1:14" ht="16.5" customHeight="1" x14ac:dyDescent="0.25">
      <c r="A17" s="240"/>
      <c r="B17" s="245" t="s">
        <v>330</v>
      </c>
      <c r="C17" s="241" t="s">
        <v>352</v>
      </c>
      <c r="D17" s="242">
        <v>1</v>
      </c>
      <c r="E17" s="242">
        <v>8.6300000000000008</v>
      </c>
      <c r="F17" s="242">
        <v>4.5</v>
      </c>
      <c r="G17" s="319">
        <v>5</v>
      </c>
      <c r="H17" s="242">
        <f t="shared" si="2"/>
        <v>194.17500000000001</v>
      </c>
      <c r="I17" s="242">
        <f t="shared" si="3"/>
        <v>7.1916666666666673</v>
      </c>
      <c r="J17" s="243"/>
      <c r="K17" s="241"/>
      <c r="L17" s="241"/>
      <c r="M17" s="244"/>
      <c r="N17" s="195"/>
    </row>
    <row r="18" spans="1:14" ht="16.5" customHeight="1" x14ac:dyDescent="0.25">
      <c r="A18" s="240"/>
      <c r="B18" s="245" t="s">
        <v>331</v>
      </c>
      <c r="C18" s="241" t="s">
        <v>353</v>
      </c>
      <c r="D18" s="242">
        <v>1</v>
      </c>
      <c r="E18" s="242">
        <v>14.59</v>
      </c>
      <c r="F18" s="242">
        <v>4.5</v>
      </c>
      <c r="G18" s="319">
        <v>5</v>
      </c>
      <c r="H18" s="242">
        <f t="shared" si="2"/>
        <v>328.27499999999998</v>
      </c>
      <c r="I18" s="242">
        <f t="shared" si="3"/>
        <v>12.158333333333333</v>
      </c>
      <c r="J18" s="243"/>
      <c r="K18" s="241"/>
      <c r="L18" s="241"/>
      <c r="M18" s="244"/>
      <c r="N18" s="195"/>
    </row>
    <row r="19" spans="1:14" ht="16.5" customHeight="1" x14ac:dyDescent="0.25">
      <c r="A19" s="240"/>
      <c r="B19" s="245" t="s">
        <v>331</v>
      </c>
      <c r="C19" s="241" t="s">
        <v>332</v>
      </c>
      <c r="D19" s="242">
        <v>1</v>
      </c>
      <c r="E19" s="242">
        <v>19.34</v>
      </c>
      <c r="F19" s="242">
        <v>4.5</v>
      </c>
      <c r="G19" s="319">
        <v>5</v>
      </c>
      <c r="H19" s="242">
        <f t="shared" si="2"/>
        <v>435.15</v>
      </c>
      <c r="I19" s="242">
        <f t="shared" si="3"/>
        <v>16.116666666666667</v>
      </c>
      <c r="J19" s="243"/>
      <c r="K19" s="241"/>
      <c r="L19" s="241"/>
      <c r="M19" s="244"/>
      <c r="N19" s="195"/>
    </row>
    <row r="20" spans="1:14" ht="16.5" customHeight="1" x14ac:dyDescent="0.25">
      <c r="A20" s="240"/>
      <c r="B20" s="245" t="s">
        <v>330</v>
      </c>
      <c r="C20" s="241" t="s">
        <v>356</v>
      </c>
      <c r="D20" s="242">
        <v>1</v>
      </c>
      <c r="E20" s="242">
        <v>8.65</v>
      </c>
      <c r="F20" s="242">
        <v>4.5</v>
      </c>
      <c r="G20" s="319">
        <v>5</v>
      </c>
      <c r="H20" s="242">
        <f t="shared" si="2"/>
        <v>194.62500000000003</v>
      </c>
      <c r="I20" s="242">
        <f t="shared" si="3"/>
        <v>7.2083333333333348</v>
      </c>
      <c r="J20" s="243"/>
      <c r="K20" s="241"/>
      <c r="L20" s="241"/>
      <c r="M20" s="244"/>
      <c r="N20" s="195"/>
    </row>
    <row r="21" spans="1:14" ht="16.5" customHeight="1" x14ac:dyDescent="0.25">
      <c r="A21" s="240"/>
      <c r="B21" s="245" t="s">
        <v>330</v>
      </c>
      <c r="C21" s="241" t="s">
        <v>357</v>
      </c>
      <c r="D21" s="242">
        <v>1</v>
      </c>
      <c r="E21" s="242">
        <v>6.47</v>
      </c>
      <c r="F21" s="242">
        <v>4.5</v>
      </c>
      <c r="G21" s="319">
        <v>5</v>
      </c>
      <c r="H21" s="242">
        <f t="shared" si="2"/>
        <v>145.57499999999999</v>
      </c>
      <c r="I21" s="242">
        <f t="shared" si="3"/>
        <v>5.3916666666666666</v>
      </c>
      <c r="J21" s="243"/>
      <c r="K21" s="241"/>
      <c r="L21" s="241"/>
      <c r="M21" s="244"/>
      <c r="N21" s="195"/>
    </row>
    <row r="22" spans="1:14" ht="16.5" customHeight="1" x14ac:dyDescent="0.25">
      <c r="A22" s="240"/>
      <c r="B22" s="245" t="s">
        <v>355</v>
      </c>
      <c r="C22" s="241" t="s">
        <v>332</v>
      </c>
      <c r="D22" s="242">
        <v>1</v>
      </c>
      <c r="E22" s="242">
        <v>20.67</v>
      </c>
      <c r="F22" s="242">
        <v>4.5</v>
      </c>
      <c r="G22" s="319">
        <v>5</v>
      </c>
      <c r="H22" s="242">
        <f t="shared" si="2"/>
        <v>465.07500000000005</v>
      </c>
      <c r="I22" s="242">
        <f t="shared" si="3"/>
        <v>17.225000000000001</v>
      </c>
      <c r="J22" s="243"/>
      <c r="K22" s="241"/>
      <c r="L22" s="241"/>
      <c r="M22" s="244"/>
      <c r="N22" s="195"/>
    </row>
    <row r="23" spans="1:14" ht="16.5" customHeight="1" x14ac:dyDescent="0.25">
      <c r="A23" s="240"/>
      <c r="B23" s="245" t="s">
        <v>330</v>
      </c>
      <c r="C23" s="241" t="s">
        <v>333</v>
      </c>
      <c r="D23" s="242">
        <v>1</v>
      </c>
      <c r="E23" s="242">
        <v>26.6</v>
      </c>
      <c r="F23" s="242">
        <v>4.5</v>
      </c>
      <c r="G23" s="319">
        <v>5</v>
      </c>
      <c r="H23" s="242">
        <f t="shared" si="2"/>
        <v>598.5</v>
      </c>
      <c r="I23" s="242">
        <f t="shared" si="3"/>
        <v>22.166666666666668</v>
      </c>
      <c r="J23" s="243"/>
      <c r="K23" s="241"/>
      <c r="L23" s="241"/>
      <c r="M23" s="244"/>
      <c r="N23" s="195"/>
    </row>
    <row r="24" spans="1:14" ht="16.5" customHeight="1" x14ac:dyDescent="0.25">
      <c r="A24" s="240"/>
      <c r="B24" s="247"/>
      <c r="C24" s="247"/>
      <c r="D24" s="249"/>
      <c r="E24" s="249"/>
      <c r="F24" s="249"/>
      <c r="G24" s="320"/>
      <c r="H24" s="249"/>
      <c r="I24" s="249"/>
      <c r="J24" s="246"/>
      <c r="K24" s="247"/>
      <c r="L24" s="241"/>
      <c r="M24" s="244"/>
      <c r="N24" s="195"/>
    </row>
    <row r="25" spans="1:14" ht="16.5" customHeight="1" x14ac:dyDescent="0.25">
      <c r="A25" s="240"/>
      <c r="B25" s="51" t="s">
        <v>334</v>
      </c>
      <c r="C25" s="241"/>
      <c r="D25" s="242"/>
      <c r="E25" s="242"/>
      <c r="F25" s="242"/>
      <c r="G25" s="319"/>
      <c r="H25" s="242"/>
      <c r="I25" s="242"/>
      <c r="J25" s="243"/>
      <c r="K25" s="241"/>
      <c r="L25" s="241"/>
      <c r="M25" s="244"/>
      <c r="N25" s="195"/>
    </row>
    <row r="26" spans="1:14" ht="16.5" customHeight="1" x14ac:dyDescent="0.25">
      <c r="A26" s="240"/>
      <c r="B26" s="245" t="s">
        <v>335</v>
      </c>
      <c r="C26" s="241" t="s">
        <v>336</v>
      </c>
      <c r="D26" s="242">
        <v>1</v>
      </c>
      <c r="E26" s="242">
        <v>20.72</v>
      </c>
      <c r="F26" s="242">
        <v>4.5</v>
      </c>
      <c r="G26" s="319">
        <v>5</v>
      </c>
      <c r="H26" s="242">
        <f t="shared" ref="H26:H33" si="4">+PRODUCT(D26:G26)</f>
        <v>466.2</v>
      </c>
      <c r="I26" s="242">
        <f t="shared" ref="I26:I33" si="5">H26/27</f>
        <v>17.266666666666666</v>
      </c>
      <c r="J26" s="243"/>
      <c r="K26" s="241"/>
      <c r="L26" s="241"/>
      <c r="M26" s="244"/>
      <c r="N26" s="195"/>
    </row>
    <row r="27" spans="1:14" ht="16.5" customHeight="1" x14ac:dyDescent="0.25">
      <c r="A27" s="240"/>
      <c r="B27" s="245" t="s">
        <v>337</v>
      </c>
      <c r="C27" s="241" t="s">
        <v>336</v>
      </c>
      <c r="D27" s="242">
        <v>1</v>
      </c>
      <c r="E27" s="242">
        <v>20.72</v>
      </c>
      <c r="F27" s="242">
        <v>4.5</v>
      </c>
      <c r="G27" s="319">
        <v>5</v>
      </c>
      <c r="H27" s="242">
        <f t="shared" si="4"/>
        <v>466.2</v>
      </c>
      <c r="I27" s="242">
        <f t="shared" si="5"/>
        <v>17.266666666666666</v>
      </c>
      <c r="J27" s="243"/>
      <c r="K27" s="241"/>
      <c r="L27" s="241"/>
      <c r="M27" s="244"/>
      <c r="N27" s="195"/>
    </row>
    <row r="28" spans="1:14" ht="16.5" customHeight="1" x14ac:dyDescent="0.25">
      <c r="A28" s="240"/>
      <c r="B28" s="245" t="s">
        <v>335</v>
      </c>
      <c r="C28" s="241" t="s">
        <v>336</v>
      </c>
      <c r="D28" s="242">
        <v>1</v>
      </c>
      <c r="E28" s="242">
        <v>11.67</v>
      </c>
      <c r="F28" s="242">
        <v>4.5</v>
      </c>
      <c r="G28" s="319">
        <v>5</v>
      </c>
      <c r="H28" s="242">
        <f t="shared" si="4"/>
        <v>262.57499999999999</v>
      </c>
      <c r="I28" s="242">
        <f t="shared" si="5"/>
        <v>9.7249999999999996</v>
      </c>
      <c r="J28" s="243"/>
      <c r="K28" s="241"/>
      <c r="L28" s="241"/>
      <c r="M28" s="244"/>
      <c r="N28" s="195"/>
    </row>
    <row r="29" spans="1:14" ht="16.5" customHeight="1" x14ac:dyDescent="0.25">
      <c r="A29" s="240"/>
      <c r="B29" s="245" t="s">
        <v>335</v>
      </c>
      <c r="C29" s="241" t="s">
        <v>336</v>
      </c>
      <c r="D29" s="242">
        <v>2</v>
      </c>
      <c r="E29" s="242">
        <v>2.08</v>
      </c>
      <c r="F29" s="242">
        <v>4.5</v>
      </c>
      <c r="G29" s="319">
        <v>5</v>
      </c>
      <c r="H29" s="242">
        <f t="shared" si="4"/>
        <v>93.6</v>
      </c>
      <c r="I29" s="242">
        <f t="shared" si="5"/>
        <v>3.4666666666666663</v>
      </c>
      <c r="J29" s="243"/>
      <c r="K29" s="241"/>
      <c r="L29" s="241"/>
      <c r="M29" s="244"/>
      <c r="N29" s="195"/>
    </row>
    <row r="30" spans="1:14" ht="16.5" customHeight="1" x14ac:dyDescent="0.25">
      <c r="A30" s="240"/>
      <c r="B30" s="245" t="s">
        <v>335</v>
      </c>
      <c r="C30" s="241" t="s">
        <v>336</v>
      </c>
      <c r="D30" s="242">
        <v>1</v>
      </c>
      <c r="E30" s="242">
        <v>20.67</v>
      </c>
      <c r="F30" s="242">
        <v>4.5</v>
      </c>
      <c r="G30" s="319">
        <v>5</v>
      </c>
      <c r="H30" s="242">
        <f t="shared" si="4"/>
        <v>465.07500000000005</v>
      </c>
      <c r="I30" s="242">
        <f t="shared" si="5"/>
        <v>17.225000000000001</v>
      </c>
      <c r="J30" s="243"/>
      <c r="K30" s="241"/>
      <c r="L30" s="241"/>
      <c r="M30" s="244"/>
      <c r="N30" s="195"/>
    </row>
    <row r="31" spans="1:14" ht="16.5" customHeight="1" x14ac:dyDescent="0.25">
      <c r="A31" s="240"/>
      <c r="B31" s="245" t="s">
        <v>335</v>
      </c>
      <c r="C31" s="241" t="s">
        <v>336</v>
      </c>
      <c r="D31" s="242">
        <v>1</v>
      </c>
      <c r="E31" s="242">
        <v>8.44</v>
      </c>
      <c r="F31" s="242">
        <v>4.5</v>
      </c>
      <c r="G31" s="319">
        <v>5</v>
      </c>
      <c r="H31" s="242">
        <f t="shared" si="4"/>
        <v>189.89999999999998</v>
      </c>
      <c r="I31" s="242">
        <f t="shared" si="5"/>
        <v>7.0333333333333323</v>
      </c>
      <c r="J31" s="243"/>
      <c r="K31" s="241"/>
      <c r="L31" s="241"/>
      <c r="M31" s="244"/>
      <c r="N31" s="195"/>
    </row>
    <row r="32" spans="1:14" ht="16.5" customHeight="1" x14ac:dyDescent="0.25">
      <c r="A32" s="240"/>
      <c r="B32" s="245" t="s">
        <v>335</v>
      </c>
      <c r="C32" s="241" t="s">
        <v>336</v>
      </c>
      <c r="D32" s="242">
        <v>1</v>
      </c>
      <c r="E32" s="242">
        <v>20.83</v>
      </c>
      <c r="F32" s="242">
        <v>4.5</v>
      </c>
      <c r="G32" s="319">
        <v>5</v>
      </c>
      <c r="H32" s="242">
        <f t="shared" si="4"/>
        <v>468.67499999999995</v>
      </c>
      <c r="I32" s="242">
        <f t="shared" si="5"/>
        <v>17.358333333333331</v>
      </c>
      <c r="J32" s="243"/>
      <c r="K32" s="241"/>
      <c r="L32" s="241"/>
      <c r="M32" s="244"/>
      <c r="N32" s="195"/>
    </row>
    <row r="33" spans="1:14" x14ac:dyDescent="0.25">
      <c r="A33" s="240"/>
      <c r="B33" s="245" t="s">
        <v>338</v>
      </c>
      <c r="C33" s="241" t="s">
        <v>339</v>
      </c>
      <c r="D33" s="242">
        <v>2</v>
      </c>
      <c r="E33" s="242">
        <v>29.27</v>
      </c>
      <c r="F33" s="242">
        <v>4.5999999999999996</v>
      </c>
      <c r="G33" s="319">
        <v>2.83</v>
      </c>
      <c r="H33" s="242">
        <f t="shared" si="4"/>
        <v>762.07371999999998</v>
      </c>
      <c r="I33" s="242">
        <f t="shared" si="5"/>
        <v>28.22495259259259</v>
      </c>
      <c r="J33" s="243"/>
      <c r="K33" s="241"/>
      <c r="L33" s="241"/>
      <c r="M33" s="244"/>
      <c r="N33" s="195"/>
    </row>
    <row r="34" spans="1:14" x14ac:dyDescent="0.25">
      <c r="A34" s="240"/>
      <c r="B34" s="51" t="s">
        <v>359</v>
      </c>
      <c r="C34" s="241"/>
      <c r="D34" s="242"/>
      <c r="E34" s="242"/>
      <c r="F34" s="242"/>
      <c r="G34" s="319"/>
      <c r="H34" s="242"/>
      <c r="I34" s="242"/>
      <c r="J34" s="243"/>
      <c r="K34" s="241"/>
      <c r="L34" s="241"/>
      <c r="M34" s="244"/>
      <c r="N34" s="195"/>
    </row>
    <row r="35" spans="1:14" x14ac:dyDescent="0.25">
      <c r="A35" s="240"/>
      <c r="B35" s="245" t="s">
        <v>360</v>
      </c>
      <c r="C35" s="241" t="s">
        <v>361</v>
      </c>
      <c r="D35" s="242">
        <v>1</v>
      </c>
      <c r="E35" s="242">
        <v>5.67</v>
      </c>
      <c r="F35" s="242">
        <v>3.2</v>
      </c>
      <c r="G35" s="319">
        <v>2.5</v>
      </c>
      <c r="H35" s="242">
        <f>+PRODUCT(D35:G35)</f>
        <v>45.360000000000007</v>
      </c>
      <c r="I35" s="242">
        <f>H35/27</f>
        <v>1.6800000000000002</v>
      </c>
      <c r="J35" s="243"/>
      <c r="K35" s="241"/>
      <c r="L35" s="241"/>
      <c r="M35" s="244"/>
      <c r="N35" s="195"/>
    </row>
    <row r="36" spans="1:14" x14ac:dyDescent="0.25">
      <c r="A36" s="240"/>
      <c r="B36" s="245"/>
      <c r="C36" s="241" t="s">
        <v>361</v>
      </c>
      <c r="D36" s="242">
        <v>1</v>
      </c>
      <c r="E36" s="242">
        <v>68.31</v>
      </c>
      <c r="F36" s="242">
        <v>3.2</v>
      </c>
      <c r="G36" s="319">
        <v>2.5</v>
      </c>
      <c r="H36" s="242">
        <f>+PRODUCT(D36:G36)</f>
        <v>546.48</v>
      </c>
      <c r="I36" s="242">
        <f>H36/27</f>
        <v>20.240000000000002</v>
      </c>
      <c r="J36" s="243"/>
      <c r="K36" s="241"/>
      <c r="L36" s="241"/>
      <c r="M36" s="244"/>
      <c r="N36" s="195"/>
    </row>
    <row r="37" spans="1:14" x14ac:dyDescent="0.25">
      <c r="A37" s="240"/>
      <c r="B37" s="245"/>
      <c r="C37" s="241" t="s">
        <v>362</v>
      </c>
      <c r="D37" s="242">
        <v>1</v>
      </c>
      <c r="E37" s="242">
        <v>44</v>
      </c>
      <c r="F37" s="242">
        <v>3.2</v>
      </c>
      <c r="G37" s="319">
        <v>2.5</v>
      </c>
      <c r="H37" s="242">
        <f>+PRODUCT(D37:G37)</f>
        <v>352</v>
      </c>
      <c r="I37" s="242">
        <f>H37/27</f>
        <v>13.037037037037036</v>
      </c>
      <c r="J37" s="243"/>
      <c r="K37" s="241"/>
      <c r="L37" s="241"/>
      <c r="M37" s="244"/>
      <c r="N37" s="195"/>
    </row>
    <row r="38" spans="1:14" x14ac:dyDescent="0.25">
      <c r="A38" s="240"/>
      <c r="B38" s="245"/>
      <c r="C38" s="241" t="s">
        <v>363</v>
      </c>
      <c r="D38" s="242">
        <v>1</v>
      </c>
      <c r="E38" s="242">
        <v>77</v>
      </c>
      <c r="F38" s="242">
        <v>3.2</v>
      </c>
      <c r="G38" s="319">
        <v>2.5</v>
      </c>
      <c r="H38" s="242">
        <f>+PRODUCT(D38:G38)</f>
        <v>616</v>
      </c>
      <c r="I38" s="242">
        <f>H38/27</f>
        <v>22.814814814814813</v>
      </c>
      <c r="J38" s="243"/>
      <c r="K38" s="241"/>
      <c r="L38" s="241"/>
      <c r="M38" s="244"/>
      <c r="N38" s="195"/>
    </row>
    <row r="39" spans="1:14" x14ac:dyDescent="0.25">
      <c r="A39" s="240"/>
      <c r="B39" s="245"/>
      <c r="C39" s="241" t="s">
        <v>364</v>
      </c>
      <c r="D39" s="242">
        <v>1</v>
      </c>
      <c r="E39" s="242">
        <v>5.58</v>
      </c>
      <c r="F39" s="242">
        <v>3.2</v>
      </c>
      <c r="G39" s="319">
        <v>2.5</v>
      </c>
      <c r="H39" s="242">
        <f>+PRODUCT(D39:G39)</f>
        <v>44.64</v>
      </c>
      <c r="I39" s="242">
        <f>H39/27</f>
        <v>1.6533333333333333</v>
      </c>
      <c r="J39" s="243"/>
      <c r="K39" s="241"/>
      <c r="L39" s="241"/>
      <c r="M39" s="244"/>
      <c r="N39" s="195"/>
    </row>
    <row r="40" spans="1:14" x14ac:dyDescent="0.25">
      <c r="A40" s="240"/>
      <c r="B40" s="245"/>
      <c r="C40" s="241"/>
      <c r="D40" s="242"/>
      <c r="E40" s="242"/>
      <c r="F40" s="242"/>
      <c r="G40" s="319"/>
      <c r="H40" s="242"/>
      <c r="I40" s="242"/>
      <c r="J40" s="243"/>
      <c r="K40" s="241"/>
      <c r="L40" s="241"/>
      <c r="M40" s="244"/>
      <c r="N40" s="195"/>
    </row>
    <row r="41" spans="1:14" x14ac:dyDescent="0.25">
      <c r="A41" s="240"/>
      <c r="B41" s="245" t="s">
        <v>626</v>
      </c>
      <c r="C41" s="241"/>
      <c r="D41" s="242">
        <v>2</v>
      </c>
      <c r="E41" s="242">
        <f>7.67+1</f>
        <v>8.67</v>
      </c>
      <c r="F41" s="242">
        <f>1.33+0.1+0.1</f>
        <v>1.5300000000000002</v>
      </c>
      <c r="G41" s="319">
        <f>3.5+1</f>
        <v>4.5</v>
      </c>
      <c r="H41" s="256">
        <f>PRODUCT(D41:G41)</f>
        <v>119.38590000000002</v>
      </c>
      <c r="I41" s="242">
        <f>H41/27</f>
        <v>4.4217000000000004</v>
      </c>
      <c r="J41" s="243"/>
      <c r="K41" s="241"/>
      <c r="L41" s="241"/>
      <c r="M41" s="244"/>
      <c r="N41" s="195"/>
    </row>
    <row r="42" spans="1:14" x14ac:dyDescent="0.25">
      <c r="A42" s="240"/>
      <c r="B42" s="245" t="s">
        <v>628</v>
      </c>
      <c r="C42" s="241"/>
      <c r="D42" s="242">
        <v>1</v>
      </c>
      <c r="E42" s="242">
        <f>7.67+1</f>
        <v>8.67</v>
      </c>
      <c r="F42" s="242">
        <f>1.33+0.1+0.1</f>
        <v>1.5300000000000002</v>
      </c>
      <c r="G42" s="319">
        <f>3.5+1</f>
        <v>4.5</v>
      </c>
      <c r="H42" s="256">
        <f>PRODUCT(D42:G42)</f>
        <v>59.69295000000001</v>
      </c>
      <c r="I42" s="242">
        <f>H42/27</f>
        <v>2.2108500000000002</v>
      </c>
      <c r="J42" s="243"/>
      <c r="K42" s="241"/>
      <c r="L42" s="241"/>
      <c r="M42" s="244"/>
      <c r="N42" s="195"/>
    </row>
    <row r="43" spans="1:14" x14ac:dyDescent="0.25">
      <c r="A43" s="240"/>
      <c r="B43" s="51" t="s">
        <v>499</v>
      </c>
      <c r="C43" s="241"/>
      <c r="D43" s="242"/>
      <c r="E43" s="242"/>
      <c r="F43" s="242"/>
      <c r="G43" s="319"/>
      <c r="H43" s="242"/>
      <c r="I43" s="242"/>
      <c r="J43" s="243"/>
      <c r="K43" s="241"/>
      <c r="L43" s="241"/>
      <c r="M43" s="244"/>
      <c r="N43" s="195"/>
    </row>
    <row r="44" spans="1:14" x14ac:dyDescent="0.25">
      <c r="A44" s="240"/>
      <c r="B44" s="245"/>
      <c r="C44" s="241" t="s">
        <v>372</v>
      </c>
      <c r="D44" s="242">
        <v>5</v>
      </c>
      <c r="E44" s="242">
        <f>4.67+1</f>
        <v>5.67</v>
      </c>
      <c r="F44" s="242">
        <f>4.67+1</f>
        <v>5.67</v>
      </c>
      <c r="G44" s="319">
        <v>6</v>
      </c>
      <c r="H44" s="242">
        <f>+PRODUCT(D44:G44)</f>
        <v>964.4670000000001</v>
      </c>
      <c r="I44" s="242">
        <f>H44/27</f>
        <v>35.721000000000004</v>
      </c>
      <c r="J44" s="243"/>
      <c r="K44" s="241"/>
      <c r="L44" s="241"/>
      <c r="M44" s="244"/>
      <c r="N44" s="195"/>
    </row>
    <row r="45" spans="1:14" x14ac:dyDescent="0.25">
      <c r="A45" s="240"/>
      <c r="B45" s="245"/>
      <c r="C45" s="241" t="s">
        <v>373</v>
      </c>
      <c r="D45" s="242">
        <v>2</v>
      </c>
      <c r="E45" s="242">
        <f>4.67+1</f>
        <v>5.67</v>
      </c>
      <c r="F45" s="242">
        <f>4.67+1</f>
        <v>5.67</v>
      </c>
      <c r="G45" s="319">
        <v>6</v>
      </c>
      <c r="H45" s="242">
        <f>+PRODUCT(D45:G45)</f>
        <v>385.78679999999997</v>
      </c>
      <c r="I45" s="242">
        <f>H45/27</f>
        <v>14.288399999999999</v>
      </c>
      <c r="J45" s="243"/>
      <c r="K45" s="241"/>
      <c r="L45" s="241"/>
      <c r="M45" s="244"/>
      <c r="N45" s="195"/>
    </row>
    <row r="46" spans="1:14" x14ac:dyDescent="0.25">
      <c r="A46" s="240"/>
      <c r="B46" s="245"/>
      <c r="C46" s="241"/>
      <c r="D46" s="242"/>
      <c r="E46" s="242"/>
      <c r="F46" s="242"/>
      <c r="G46" s="319"/>
      <c r="H46" s="242"/>
      <c r="I46" s="242"/>
      <c r="J46" s="243"/>
      <c r="K46" s="241"/>
      <c r="L46" s="241"/>
      <c r="M46" s="244"/>
      <c r="N46" s="195"/>
    </row>
    <row r="47" spans="1:14" x14ac:dyDescent="0.25">
      <c r="A47" s="240"/>
      <c r="B47" s="280" t="s">
        <v>500</v>
      </c>
      <c r="C47" s="241"/>
      <c r="D47" s="242"/>
      <c r="E47" s="242"/>
      <c r="F47" s="242"/>
      <c r="G47" s="319"/>
      <c r="H47" s="242"/>
      <c r="I47" s="242"/>
      <c r="J47" s="243"/>
      <c r="K47" s="241"/>
      <c r="L47" s="241"/>
      <c r="M47" s="244"/>
      <c r="N47" s="195"/>
    </row>
    <row r="48" spans="1:14" x14ac:dyDescent="0.25">
      <c r="A48" s="240"/>
      <c r="B48" s="245" t="s">
        <v>500</v>
      </c>
      <c r="C48" s="241"/>
      <c r="D48" s="242">
        <v>1</v>
      </c>
      <c r="E48" s="242"/>
      <c r="F48" s="242"/>
      <c r="G48" s="319"/>
      <c r="H48" s="242"/>
      <c r="I48" s="259">
        <f>I4*1.3</f>
        <v>545.33971411111111</v>
      </c>
      <c r="J48" s="243" t="s">
        <v>222</v>
      </c>
      <c r="K48" s="241"/>
      <c r="L48" s="241"/>
      <c r="M48" s="244"/>
      <c r="N48" s="195"/>
    </row>
    <row r="49" spans="1:14" x14ac:dyDescent="0.25">
      <c r="A49" s="240"/>
      <c r="B49" s="245"/>
      <c r="C49" s="241"/>
      <c r="D49" s="242"/>
      <c r="E49" s="242"/>
      <c r="F49" s="242"/>
      <c r="G49" s="319"/>
      <c r="H49" s="242"/>
      <c r="I49" s="242"/>
      <c r="J49" s="243"/>
      <c r="K49" s="241"/>
      <c r="L49" s="241"/>
      <c r="M49" s="244"/>
      <c r="N49" s="195"/>
    </row>
    <row r="50" spans="1:14" s="272" customFormat="1" ht="12.75" x14ac:dyDescent="0.25">
      <c r="A50" s="314"/>
      <c r="B50" s="315" t="s">
        <v>501</v>
      </c>
      <c r="C50" s="276"/>
      <c r="D50" s="314"/>
      <c r="E50" s="316"/>
      <c r="F50" s="316"/>
      <c r="G50" s="321"/>
      <c r="H50" s="316"/>
      <c r="I50" s="316">
        <f>SUM(I51:I51)</f>
        <v>5106.8500000000004</v>
      </c>
      <c r="J50" s="314" t="s">
        <v>141</v>
      </c>
      <c r="K50" s="276"/>
      <c r="L50" s="276"/>
      <c r="M50" s="306"/>
    </row>
    <row r="51" spans="1:14" s="271" customFormat="1" ht="13.5" customHeight="1" outlineLevel="1" x14ac:dyDescent="0.25">
      <c r="A51" s="266"/>
      <c r="B51" s="245" t="s">
        <v>502</v>
      </c>
      <c r="C51" s="269"/>
      <c r="D51" s="255">
        <v>1</v>
      </c>
      <c r="E51" s="545">
        <v>5106.8500000000004</v>
      </c>
      <c r="F51" s="546"/>
      <c r="G51" s="322"/>
      <c r="H51" s="255">
        <f>PRODUCT(D51:G51)</f>
        <v>5106.8500000000004</v>
      </c>
      <c r="I51" s="255">
        <f>H51</f>
        <v>5106.8500000000004</v>
      </c>
      <c r="J51" s="267" t="s">
        <v>141</v>
      </c>
      <c r="K51" s="269"/>
      <c r="L51" s="269"/>
      <c r="M51" s="273"/>
    </row>
    <row r="52" spans="1:14" s="271" customFormat="1" ht="12.75" customHeight="1" outlineLevel="1" x14ac:dyDescent="0.25">
      <c r="A52" s="266"/>
      <c r="B52" s="245"/>
      <c r="C52" s="269"/>
      <c r="D52" s="255"/>
      <c r="E52" s="255"/>
      <c r="F52" s="255"/>
      <c r="G52" s="322"/>
      <c r="H52" s="255"/>
      <c r="I52" s="255"/>
      <c r="J52" s="267"/>
      <c r="K52" s="269"/>
      <c r="L52" s="269"/>
      <c r="M52" s="273"/>
    </row>
    <row r="53" spans="1:14" s="272" customFormat="1" ht="12.75" x14ac:dyDescent="0.25">
      <c r="A53" s="314"/>
      <c r="B53" s="315" t="s">
        <v>358</v>
      </c>
      <c r="C53" s="276"/>
      <c r="D53" s="314"/>
      <c r="E53" s="316"/>
      <c r="F53" s="316"/>
      <c r="G53" s="321"/>
      <c r="H53" s="316">
        <f>SUM(H54:H107)</f>
        <v>1553.1124999999997</v>
      </c>
      <c r="I53" s="316">
        <f>SUM(I54:I113)</f>
        <v>88.438211111111102</v>
      </c>
      <c r="J53" s="314" t="s">
        <v>382</v>
      </c>
      <c r="K53" s="276"/>
      <c r="L53" s="276"/>
      <c r="M53" s="306"/>
    </row>
    <row r="54" spans="1:14" x14ac:dyDescent="0.25">
      <c r="A54" s="240"/>
      <c r="B54" s="245" t="s">
        <v>335</v>
      </c>
      <c r="C54" s="241" t="s">
        <v>336</v>
      </c>
      <c r="D54" s="242">
        <v>1</v>
      </c>
      <c r="E54" s="242">
        <v>20.72</v>
      </c>
      <c r="F54" s="242">
        <v>2.5</v>
      </c>
      <c r="G54" s="319"/>
      <c r="H54" s="242">
        <f t="shared" ref="H54:H61" si="6">+PRODUCT(D54:G54)</f>
        <v>51.8</v>
      </c>
      <c r="I54" s="242">
        <f t="shared" ref="I54:I61" si="7">H54/27</f>
        <v>1.9185185185185185</v>
      </c>
      <c r="J54" s="243"/>
      <c r="K54" s="241"/>
      <c r="L54" s="241"/>
      <c r="M54" s="244"/>
      <c r="N54" s="195"/>
    </row>
    <row r="55" spans="1:14" x14ac:dyDescent="0.25">
      <c r="A55" s="240"/>
      <c r="B55" s="245" t="s">
        <v>337</v>
      </c>
      <c r="C55" s="241" t="s">
        <v>336</v>
      </c>
      <c r="D55" s="242">
        <v>1</v>
      </c>
      <c r="E55" s="242">
        <v>20.72</v>
      </c>
      <c r="F55" s="242">
        <v>2.5</v>
      </c>
      <c r="G55" s="319"/>
      <c r="H55" s="242">
        <f t="shared" si="6"/>
        <v>51.8</v>
      </c>
      <c r="I55" s="242">
        <f t="shared" si="7"/>
        <v>1.9185185185185185</v>
      </c>
      <c r="J55" s="243"/>
      <c r="K55" s="241"/>
      <c r="L55" s="241"/>
      <c r="M55" s="244"/>
      <c r="N55" s="195"/>
    </row>
    <row r="56" spans="1:14" x14ac:dyDescent="0.25">
      <c r="A56" s="240"/>
      <c r="B56" s="245" t="s">
        <v>335</v>
      </c>
      <c r="C56" s="241" t="s">
        <v>336</v>
      </c>
      <c r="D56" s="242">
        <v>1</v>
      </c>
      <c r="E56" s="242">
        <v>11.67</v>
      </c>
      <c r="F56" s="242">
        <v>2.5</v>
      </c>
      <c r="G56" s="319"/>
      <c r="H56" s="242">
        <f t="shared" si="6"/>
        <v>29.175000000000001</v>
      </c>
      <c r="I56" s="242">
        <f t="shared" si="7"/>
        <v>1.0805555555555555</v>
      </c>
      <c r="J56" s="243"/>
      <c r="K56" s="241"/>
      <c r="L56" s="241"/>
      <c r="M56" s="244"/>
      <c r="N56" s="195"/>
    </row>
    <row r="57" spans="1:14" x14ac:dyDescent="0.25">
      <c r="A57" s="240"/>
      <c r="B57" s="245" t="s">
        <v>335</v>
      </c>
      <c r="C57" s="241" t="s">
        <v>336</v>
      </c>
      <c r="D57" s="242">
        <v>2</v>
      </c>
      <c r="E57" s="242">
        <v>2.08</v>
      </c>
      <c r="F57" s="242">
        <v>2.5</v>
      </c>
      <c r="G57" s="319"/>
      <c r="H57" s="242">
        <f t="shared" si="6"/>
        <v>10.4</v>
      </c>
      <c r="I57" s="242">
        <f t="shared" si="7"/>
        <v>0.38518518518518519</v>
      </c>
      <c r="J57" s="243"/>
      <c r="K57" s="241"/>
      <c r="L57" s="241"/>
      <c r="M57" s="244"/>
      <c r="N57" s="195"/>
    </row>
    <row r="58" spans="1:14" x14ac:dyDescent="0.25">
      <c r="A58" s="240"/>
      <c r="B58" s="245" t="s">
        <v>335</v>
      </c>
      <c r="C58" s="241" t="s">
        <v>336</v>
      </c>
      <c r="D58" s="242">
        <v>1</v>
      </c>
      <c r="E58" s="242">
        <v>20.67</v>
      </c>
      <c r="F58" s="242">
        <v>2.5</v>
      </c>
      <c r="G58" s="319"/>
      <c r="H58" s="242">
        <f t="shared" si="6"/>
        <v>51.675000000000004</v>
      </c>
      <c r="I58" s="242">
        <f t="shared" si="7"/>
        <v>1.913888888888889</v>
      </c>
      <c r="J58" s="243"/>
      <c r="K58" s="241"/>
      <c r="L58" s="241"/>
      <c r="M58" s="244"/>
      <c r="N58" s="195"/>
    </row>
    <row r="59" spans="1:14" x14ac:dyDescent="0.25">
      <c r="A59" s="240"/>
      <c r="B59" s="245" t="s">
        <v>335</v>
      </c>
      <c r="C59" s="241" t="s">
        <v>336</v>
      </c>
      <c r="D59" s="242">
        <v>1</v>
      </c>
      <c r="E59" s="242">
        <v>8.44</v>
      </c>
      <c r="F59" s="242">
        <v>2.5</v>
      </c>
      <c r="G59" s="319"/>
      <c r="H59" s="242">
        <f t="shared" si="6"/>
        <v>21.099999999999998</v>
      </c>
      <c r="I59" s="242">
        <f t="shared" si="7"/>
        <v>0.78148148148148144</v>
      </c>
      <c r="J59" s="243"/>
      <c r="K59" s="241"/>
      <c r="L59" s="241"/>
      <c r="M59" s="244"/>
      <c r="N59" s="195"/>
    </row>
    <row r="60" spans="1:14" x14ac:dyDescent="0.25">
      <c r="A60" s="240"/>
      <c r="B60" s="245" t="s">
        <v>335</v>
      </c>
      <c r="C60" s="241" t="s">
        <v>336</v>
      </c>
      <c r="D60" s="242">
        <v>1</v>
      </c>
      <c r="E60" s="242">
        <v>20.83</v>
      </c>
      <c r="F60" s="242">
        <v>2.5</v>
      </c>
      <c r="G60" s="319"/>
      <c r="H60" s="242">
        <f t="shared" si="6"/>
        <v>52.074999999999996</v>
      </c>
      <c r="I60" s="242">
        <f t="shared" si="7"/>
        <v>1.9287037037037036</v>
      </c>
      <c r="J60" s="243"/>
      <c r="K60" s="241"/>
      <c r="L60" s="241"/>
      <c r="M60" s="244"/>
      <c r="N60" s="195"/>
    </row>
    <row r="61" spans="1:14" x14ac:dyDescent="0.25">
      <c r="A61" s="240"/>
      <c r="B61" s="245" t="s">
        <v>338</v>
      </c>
      <c r="C61" s="241" t="s">
        <v>339</v>
      </c>
      <c r="D61" s="242">
        <v>2</v>
      </c>
      <c r="E61" s="242">
        <v>29.27</v>
      </c>
      <c r="F61" s="242">
        <v>2.5</v>
      </c>
      <c r="G61" s="319"/>
      <c r="H61" s="242">
        <f t="shared" si="6"/>
        <v>146.35</v>
      </c>
      <c r="I61" s="242">
        <f t="shared" si="7"/>
        <v>5.4203703703703701</v>
      </c>
      <c r="J61" s="243"/>
      <c r="K61" s="241"/>
      <c r="L61" s="241"/>
      <c r="M61" s="244"/>
      <c r="N61" s="195"/>
    </row>
    <row r="63" spans="1:14" x14ac:dyDescent="0.25">
      <c r="A63" s="240"/>
      <c r="B63" s="51" t="s">
        <v>359</v>
      </c>
      <c r="C63" s="241"/>
      <c r="D63" s="242"/>
      <c r="E63" s="242"/>
      <c r="F63" s="242"/>
      <c r="G63" s="319"/>
      <c r="H63" s="242"/>
      <c r="I63" s="242"/>
      <c r="J63" s="243"/>
      <c r="K63" s="241"/>
      <c r="L63" s="241"/>
      <c r="M63" s="244"/>
      <c r="N63" s="195"/>
    </row>
    <row r="64" spans="1:14" x14ac:dyDescent="0.25">
      <c r="A64" s="240"/>
      <c r="B64" s="245" t="s">
        <v>360</v>
      </c>
      <c r="C64" s="241" t="s">
        <v>361</v>
      </c>
      <c r="D64" s="242">
        <v>1</v>
      </c>
      <c r="E64" s="242">
        <v>5.67</v>
      </c>
      <c r="F64" s="242">
        <v>2.5</v>
      </c>
      <c r="G64" s="319"/>
      <c r="H64" s="242">
        <f>+PRODUCT(D64:G64)</f>
        <v>14.175000000000001</v>
      </c>
      <c r="I64" s="242">
        <f>H64/27</f>
        <v>0.52500000000000002</v>
      </c>
      <c r="J64" s="243"/>
      <c r="K64" s="241"/>
      <c r="L64" s="241"/>
      <c r="M64" s="244"/>
      <c r="N64" s="195"/>
    </row>
    <row r="65" spans="1:14" x14ac:dyDescent="0.25">
      <c r="A65" s="240"/>
      <c r="B65" s="245"/>
      <c r="C65" s="241" t="s">
        <v>361</v>
      </c>
      <c r="D65" s="242">
        <v>1</v>
      </c>
      <c r="E65" s="242">
        <v>68.31</v>
      </c>
      <c r="F65" s="242">
        <v>2.5</v>
      </c>
      <c r="G65" s="319"/>
      <c r="H65" s="242">
        <f>+PRODUCT(D65:G65)</f>
        <v>170.77500000000001</v>
      </c>
      <c r="I65" s="242">
        <f>H65/27</f>
        <v>6.3250000000000002</v>
      </c>
      <c r="J65" s="243"/>
      <c r="K65" s="241"/>
      <c r="L65" s="241"/>
      <c r="M65" s="244"/>
      <c r="N65" s="195"/>
    </row>
    <row r="66" spans="1:14" x14ac:dyDescent="0.25">
      <c r="A66" s="240"/>
      <c r="B66" s="245"/>
      <c r="C66" s="241" t="s">
        <v>362</v>
      </c>
      <c r="D66" s="242">
        <v>1</v>
      </c>
      <c r="E66" s="242">
        <v>44</v>
      </c>
      <c r="F66" s="242">
        <v>2.5</v>
      </c>
      <c r="G66" s="319"/>
      <c r="H66" s="242">
        <f>+PRODUCT(D66:G66)</f>
        <v>110</v>
      </c>
      <c r="I66" s="242">
        <f>H66/27</f>
        <v>4.0740740740740744</v>
      </c>
      <c r="J66" s="243"/>
      <c r="K66" s="241"/>
      <c r="L66" s="241"/>
      <c r="M66" s="244"/>
      <c r="N66" s="195"/>
    </row>
    <row r="67" spans="1:14" x14ac:dyDescent="0.25">
      <c r="A67" s="240"/>
      <c r="B67" s="245"/>
      <c r="C67" s="241" t="s">
        <v>363</v>
      </c>
      <c r="D67" s="242">
        <v>1</v>
      </c>
      <c r="E67" s="242">
        <v>77</v>
      </c>
      <c r="F67" s="242">
        <v>2.5</v>
      </c>
      <c r="G67" s="319"/>
      <c r="H67" s="242">
        <f>+PRODUCT(D67:G67)</f>
        <v>192.5</v>
      </c>
      <c r="I67" s="242">
        <f>H67/27</f>
        <v>7.1296296296296298</v>
      </c>
      <c r="J67" s="243"/>
      <c r="K67" s="241"/>
      <c r="L67" s="241"/>
      <c r="M67" s="244"/>
      <c r="N67" s="195"/>
    </row>
    <row r="68" spans="1:14" x14ac:dyDescent="0.25">
      <c r="A68" s="240"/>
      <c r="B68" s="245"/>
      <c r="C68" s="241" t="s">
        <v>364</v>
      </c>
      <c r="D68" s="242">
        <v>1</v>
      </c>
      <c r="E68" s="242">
        <v>5.58</v>
      </c>
      <c r="F68" s="242">
        <v>2.5</v>
      </c>
      <c r="G68" s="319"/>
      <c r="H68" s="242">
        <f>+PRODUCT(D68:G68)</f>
        <v>13.95</v>
      </c>
      <c r="I68" s="242">
        <f>H68/27</f>
        <v>0.51666666666666661</v>
      </c>
      <c r="J68" s="243"/>
      <c r="K68" s="241"/>
      <c r="L68" s="241"/>
      <c r="M68" s="244"/>
      <c r="N68" s="195"/>
    </row>
    <row r="69" spans="1:14" x14ac:dyDescent="0.25">
      <c r="A69" s="240"/>
      <c r="B69" s="245"/>
      <c r="C69" s="241"/>
      <c r="D69" s="242"/>
      <c r="E69" s="242"/>
      <c r="F69" s="242"/>
      <c r="G69" s="319"/>
      <c r="H69" s="242"/>
      <c r="I69" s="242"/>
      <c r="J69" s="243"/>
      <c r="K69" s="241"/>
      <c r="L69" s="241"/>
      <c r="M69" s="244"/>
      <c r="N69" s="195"/>
    </row>
    <row r="70" spans="1:14" x14ac:dyDescent="0.25">
      <c r="A70" s="240"/>
      <c r="B70" s="51" t="s">
        <v>365</v>
      </c>
      <c r="C70" s="254"/>
      <c r="D70" s="255"/>
      <c r="E70" s="255"/>
      <c r="F70" s="255"/>
      <c r="G70" s="322"/>
      <c r="H70" s="255"/>
      <c r="I70" s="255"/>
      <c r="J70" s="243"/>
      <c r="K70" s="241"/>
      <c r="L70" s="241"/>
      <c r="M70" s="244"/>
      <c r="N70" s="195"/>
    </row>
    <row r="71" spans="1:14" x14ac:dyDescent="0.25">
      <c r="A71" s="240"/>
      <c r="B71" s="245" t="s">
        <v>335</v>
      </c>
      <c r="C71" s="241" t="s">
        <v>336</v>
      </c>
      <c r="D71" s="242">
        <v>1</v>
      </c>
      <c r="E71" s="242">
        <v>20.72</v>
      </c>
      <c r="F71" s="242">
        <v>0.67</v>
      </c>
      <c r="G71" s="319"/>
      <c r="H71" s="256">
        <f t="shared" ref="H71:H78" si="8">PRODUCT(D71:G71)</f>
        <v>13.882400000000001</v>
      </c>
      <c r="I71" s="242">
        <f t="shared" ref="I71:I78" si="9">H71/27</f>
        <v>0.51416296296296293</v>
      </c>
      <c r="J71" s="243"/>
      <c r="K71" s="241"/>
      <c r="L71" s="241"/>
      <c r="M71" s="244"/>
      <c r="N71" s="195"/>
    </row>
    <row r="72" spans="1:14" x14ac:dyDescent="0.25">
      <c r="A72" s="240"/>
      <c r="B72" s="245" t="s">
        <v>337</v>
      </c>
      <c r="C72" s="241" t="s">
        <v>336</v>
      </c>
      <c r="D72" s="242">
        <v>1</v>
      </c>
      <c r="E72" s="242">
        <v>20.72</v>
      </c>
      <c r="F72" s="242">
        <v>0.67</v>
      </c>
      <c r="G72" s="319"/>
      <c r="H72" s="256">
        <f t="shared" si="8"/>
        <v>13.882400000000001</v>
      </c>
      <c r="I72" s="242">
        <f t="shared" si="9"/>
        <v>0.51416296296296293</v>
      </c>
      <c r="J72" s="243"/>
      <c r="K72" s="241"/>
      <c r="L72" s="241"/>
      <c r="M72" s="244"/>
      <c r="N72" s="195"/>
    </row>
    <row r="73" spans="1:14" x14ac:dyDescent="0.25">
      <c r="A73" s="240"/>
      <c r="B73" s="245" t="s">
        <v>335</v>
      </c>
      <c r="C73" s="241" t="s">
        <v>336</v>
      </c>
      <c r="D73" s="242">
        <v>1</v>
      </c>
      <c r="E73" s="242">
        <v>11.67</v>
      </c>
      <c r="F73" s="242">
        <v>0.67</v>
      </c>
      <c r="G73" s="319"/>
      <c r="H73" s="256">
        <f t="shared" si="8"/>
        <v>7.8189000000000002</v>
      </c>
      <c r="I73" s="242">
        <f t="shared" si="9"/>
        <v>0.2895888888888889</v>
      </c>
      <c r="J73" s="243"/>
      <c r="K73" s="241"/>
      <c r="L73" s="241"/>
      <c r="M73" s="244"/>
      <c r="N73" s="195"/>
    </row>
    <row r="74" spans="1:14" x14ac:dyDescent="0.25">
      <c r="A74" s="240"/>
      <c r="B74" s="245" t="s">
        <v>335</v>
      </c>
      <c r="C74" s="241" t="s">
        <v>336</v>
      </c>
      <c r="D74" s="242">
        <v>2</v>
      </c>
      <c r="E74" s="242">
        <v>2.08</v>
      </c>
      <c r="F74" s="242">
        <v>0.67</v>
      </c>
      <c r="G74" s="319"/>
      <c r="H74" s="256">
        <f t="shared" si="8"/>
        <v>2.7872000000000003</v>
      </c>
      <c r="I74" s="242">
        <f t="shared" si="9"/>
        <v>0.10322962962962964</v>
      </c>
      <c r="J74" s="243"/>
      <c r="K74" s="241"/>
      <c r="L74" s="241"/>
      <c r="M74" s="244"/>
      <c r="N74" s="195"/>
    </row>
    <row r="75" spans="1:14" x14ac:dyDescent="0.25">
      <c r="A75" s="240"/>
      <c r="B75" s="245" t="s">
        <v>335</v>
      </c>
      <c r="C75" s="241" t="s">
        <v>336</v>
      </c>
      <c r="D75" s="242">
        <v>1</v>
      </c>
      <c r="E75" s="242">
        <v>20.67</v>
      </c>
      <c r="F75" s="242">
        <v>0.67</v>
      </c>
      <c r="G75" s="319"/>
      <c r="H75" s="256">
        <f t="shared" si="8"/>
        <v>13.848900000000002</v>
      </c>
      <c r="I75" s="242">
        <f t="shared" si="9"/>
        <v>0.51292222222222228</v>
      </c>
      <c r="J75" s="243"/>
      <c r="K75" s="241"/>
      <c r="L75" s="241"/>
      <c r="M75" s="244"/>
      <c r="N75" s="195"/>
    </row>
    <row r="76" spans="1:14" x14ac:dyDescent="0.25">
      <c r="A76" s="240"/>
      <c r="B76" s="245" t="s">
        <v>335</v>
      </c>
      <c r="C76" s="241" t="s">
        <v>336</v>
      </c>
      <c r="D76" s="242">
        <v>1</v>
      </c>
      <c r="E76" s="242">
        <v>8.44</v>
      </c>
      <c r="F76" s="242">
        <v>0.67</v>
      </c>
      <c r="G76" s="319"/>
      <c r="H76" s="256">
        <f t="shared" si="8"/>
        <v>5.6547999999999998</v>
      </c>
      <c r="I76" s="242">
        <f t="shared" si="9"/>
        <v>0.20943703703703703</v>
      </c>
      <c r="J76" s="243"/>
      <c r="K76" s="241"/>
      <c r="L76" s="241"/>
      <c r="M76" s="244"/>
      <c r="N76" s="195"/>
    </row>
    <row r="77" spans="1:14" x14ac:dyDescent="0.25">
      <c r="A77" s="240"/>
      <c r="B77" s="245" t="s">
        <v>335</v>
      </c>
      <c r="C77" s="241" t="s">
        <v>336</v>
      </c>
      <c r="D77" s="242">
        <v>1</v>
      </c>
      <c r="E77" s="242">
        <v>20.83</v>
      </c>
      <c r="F77" s="242">
        <v>0.67</v>
      </c>
      <c r="G77" s="319"/>
      <c r="H77" s="256">
        <f t="shared" si="8"/>
        <v>13.956099999999999</v>
      </c>
      <c r="I77" s="242">
        <f t="shared" si="9"/>
        <v>0.51689259259259257</v>
      </c>
      <c r="J77" s="243"/>
      <c r="K77" s="241"/>
      <c r="L77" s="241"/>
      <c r="M77" s="244"/>
      <c r="N77" s="195"/>
    </row>
    <row r="78" spans="1:14" x14ac:dyDescent="0.25">
      <c r="A78" s="240"/>
      <c r="B78" s="245" t="s">
        <v>338</v>
      </c>
      <c r="C78" s="241" t="s">
        <v>339</v>
      </c>
      <c r="D78" s="242">
        <v>2</v>
      </c>
      <c r="E78" s="242">
        <v>29.27</v>
      </c>
      <c r="F78" s="242">
        <v>0.67</v>
      </c>
      <c r="G78" s="319"/>
      <c r="H78" s="256">
        <f t="shared" si="8"/>
        <v>39.221800000000002</v>
      </c>
      <c r="I78" s="242">
        <f t="shared" si="9"/>
        <v>1.4526592592592593</v>
      </c>
      <c r="J78" s="243"/>
      <c r="K78" s="241"/>
      <c r="L78" s="241"/>
      <c r="M78" s="244"/>
      <c r="N78" s="195"/>
    </row>
    <row r="79" spans="1:14" x14ac:dyDescent="0.25">
      <c r="A79" s="240"/>
      <c r="B79" s="245"/>
      <c r="C79" s="241"/>
      <c r="D79" s="242"/>
      <c r="E79" s="242"/>
      <c r="F79" s="242"/>
      <c r="G79" s="319"/>
      <c r="H79" s="242"/>
      <c r="I79" s="242"/>
      <c r="J79" s="243"/>
      <c r="K79" s="241"/>
      <c r="L79" s="241"/>
      <c r="M79" s="244"/>
      <c r="N79" s="195"/>
    </row>
    <row r="80" spans="1:14" x14ac:dyDescent="0.25">
      <c r="A80" s="240"/>
      <c r="B80" s="51" t="s">
        <v>328</v>
      </c>
      <c r="C80" s="241"/>
      <c r="D80" s="242"/>
      <c r="E80" s="242"/>
      <c r="F80" s="242"/>
      <c r="G80" s="319"/>
      <c r="H80" s="242"/>
      <c r="I80" s="242"/>
      <c r="J80" s="243"/>
      <c r="K80" s="241"/>
      <c r="L80" s="241"/>
      <c r="M80" s="244"/>
      <c r="N80" s="195"/>
    </row>
    <row r="81" spans="1:14" x14ac:dyDescent="0.25">
      <c r="A81" s="240"/>
      <c r="B81" s="245" t="s">
        <v>354</v>
      </c>
      <c r="C81" s="241" t="s">
        <v>329</v>
      </c>
      <c r="D81" s="242">
        <v>1</v>
      </c>
      <c r="E81" s="242">
        <v>19.34</v>
      </c>
      <c r="F81" s="242">
        <v>0.67</v>
      </c>
      <c r="G81" s="319"/>
      <c r="H81" s="256">
        <f t="shared" ref="H81:H89" si="10">PRODUCT(D81:G81)</f>
        <v>12.957800000000001</v>
      </c>
      <c r="I81" s="242">
        <f t="shared" ref="I81:I89" si="11">H81/27</f>
        <v>0.47991851851851852</v>
      </c>
      <c r="J81" s="246"/>
      <c r="K81" s="241"/>
      <c r="L81" s="247"/>
      <c r="M81" s="248"/>
      <c r="N81" s="195"/>
    </row>
    <row r="82" spans="1:14" x14ac:dyDescent="0.25">
      <c r="A82" s="240"/>
      <c r="B82" s="245" t="s">
        <v>330</v>
      </c>
      <c r="C82" s="244" t="s">
        <v>327</v>
      </c>
      <c r="D82" s="242">
        <v>1</v>
      </c>
      <c r="E82" s="242">
        <v>6.02</v>
      </c>
      <c r="F82" s="242">
        <v>0.67</v>
      </c>
      <c r="G82" s="319"/>
      <c r="H82" s="256">
        <f t="shared" si="10"/>
        <v>4.0334000000000003</v>
      </c>
      <c r="I82" s="242">
        <f t="shared" si="11"/>
        <v>0.1493851851851852</v>
      </c>
      <c r="J82" s="243"/>
      <c r="K82" s="241"/>
      <c r="L82" s="241"/>
      <c r="M82" s="244"/>
      <c r="N82" s="195"/>
    </row>
    <row r="83" spans="1:14" x14ac:dyDescent="0.25">
      <c r="A83" s="240"/>
      <c r="B83" s="245" t="s">
        <v>330</v>
      </c>
      <c r="C83" s="241" t="s">
        <v>352</v>
      </c>
      <c r="D83" s="242">
        <v>1</v>
      </c>
      <c r="E83" s="242">
        <v>8.6300000000000008</v>
      </c>
      <c r="F83" s="242">
        <v>0.67</v>
      </c>
      <c r="G83" s="319"/>
      <c r="H83" s="256">
        <f t="shared" si="10"/>
        <v>5.7821000000000007</v>
      </c>
      <c r="I83" s="242">
        <f t="shared" si="11"/>
        <v>0.21415185185185187</v>
      </c>
      <c r="J83" s="243"/>
      <c r="K83" s="241"/>
      <c r="L83" s="241"/>
      <c r="M83" s="244"/>
      <c r="N83" s="195"/>
    </row>
    <row r="84" spans="1:14" x14ac:dyDescent="0.25">
      <c r="A84" s="240"/>
      <c r="B84" s="245" t="s">
        <v>331</v>
      </c>
      <c r="C84" s="241" t="s">
        <v>353</v>
      </c>
      <c r="D84" s="242">
        <v>1</v>
      </c>
      <c r="E84" s="242">
        <v>14.59</v>
      </c>
      <c r="F84" s="242">
        <v>0.67</v>
      </c>
      <c r="G84" s="319"/>
      <c r="H84" s="256">
        <f t="shared" si="10"/>
        <v>9.7752999999999997</v>
      </c>
      <c r="I84" s="242">
        <f t="shared" si="11"/>
        <v>0.36204814814814812</v>
      </c>
      <c r="J84" s="243"/>
      <c r="K84" s="241"/>
      <c r="L84" s="241"/>
      <c r="M84" s="244"/>
      <c r="N84" s="195"/>
    </row>
    <row r="85" spans="1:14" x14ac:dyDescent="0.25">
      <c r="A85" s="240"/>
      <c r="B85" s="245" t="s">
        <v>331</v>
      </c>
      <c r="C85" s="241" t="s">
        <v>332</v>
      </c>
      <c r="D85" s="242">
        <v>1</v>
      </c>
      <c r="E85" s="242">
        <v>19.34</v>
      </c>
      <c r="F85" s="242">
        <v>0.67</v>
      </c>
      <c r="G85" s="319"/>
      <c r="H85" s="256">
        <f t="shared" si="10"/>
        <v>12.957800000000001</v>
      </c>
      <c r="I85" s="242">
        <f t="shared" si="11"/>
        <v>0.47991851851851852</v>
      </c>
      <c r="J85" s="243"/>
      <c r="K85" s="241"/>
      <c r="L85" s="241"/>
      <c r="M85" s="244"/>
      <c r="N85" s="195"/>
    </row>
    <row r="86" spans="1:14" x14ac:dyDescent="0.25">
      <c r="A86" s="240"/>
      <c r="B86" s="245" t="s">
        <v>330</v>
      </c>
      <c r="C86" s="241" t="s">
        <v>356</v>
      </c>
      <c r="D86" s="242">
        <v>1</v>
      </c>
      <c r="E86" s="242">
        <v>8.65</v>
      </c>
      <c r="F86" s="242">
        <v>0.67</v>
      </c>
      <c r="G86" s="319"/>
      <c r="H86" s="256">
        <f t="shared" si="10"/>
        <v>5.7955000000000005</v>
      </c>
      <c r="I86" s="242">
        <f t="shared" si="11"/>
        <v>0.21464814814814817</v>
      </c>
      <c r="J86" s="243"/>
      <c r="K86" s="241"/>
      <c r="L86" s="241"/>
      <c r="M86" s="244"/>
      <c r="N86" s="195"/>
    </row>
    <row r="87" spans="1:14" x14ac:dyDescent="0.25">
      <c r="A87" s="240"/>
      <c r="B87" s="245" t="s">
        <v>330</v>
      </c>
      <c r="C87" s="241" t="s">
        <v>357</v>
      </c>
      <c r="D87" s="242">
        <v>1</v>
      </c>
      <c r="E87" s="242">
        <v>6.47</v>
      </c>
      <c r="F87" s="242">
        <v>0.67</v>
      </c>
      <c r="G87" s="319"/>
      <c r="H87" s="256">
        <f t="shared" si="10"/>
        <v>4.3349000000000002</v>
      </c>
      <c r="I87" s="242">
        <f t="shared" si="11"/>
        <v>0.16055185185185186</v>
      </c>
      <c r="J87" s="243"/>
      <c r="K87" s="241"/>
      <c r="L87" s="241"/>
      <c r="M87" s="244"/>
      <c r="N87" s="195"/>
    </row>
    <row r="88" spans="1:14" x14ac:dyDescent="0.25">
      <c r="A88" s="240"/>
      <c r="B88" s="245" t="s">
        <v>355</v>
      </c>
      <c r="C88" s="241" t="s">
        <v>332</v>
      </c>
      <c r="D88" s="242">
        <v>1</v>
      </c>
      <c r="E88" s="242">
        <v>20.67</v>
      </c>
      <c r="F88" s="242">
        <v>0.67</v>
      </c>
      <c r="G88" s="319"/>
      <c r="H88" s="256">
        <f t="shared" si="10"/>
        <v>13.848900000000002</v>
      </c>
      <c r="I88" s="242">
        <f t="shared" si="11"/>
        <v>0.51292222222222228</v>
      </c>
      <c r="J88" s="243"/>
      <c r="K88" s="241"/>
      <c r="L88" s="241"/>
      <c r="M88" s="244"/>
      <c r="N88" s="195"/>
    </row>
    <row r="89" spans="1:14" x14ac:dyDescent="0.25">
      <c r="A89" s="240"/>
      <c r="B89" s="245" t="s">
        <v>330</v>
      </c>
      <c r="C89" s="241" t="s">
        <v>333</v>
      </c>
      <c r="D89" s="242">
        <v>1</v>
      </c>
      <c r="E89" s="242">
        <v>26.6</v>
      </c>
      <c r="F89" s="242">
        <v>0.67</v>
      </c>
      <c r="G89" s="319"/>
      <c r="H89" s="256">
        <f t="shared" si="10"/>
        <v>17.822000000000003</v>
      </c>
      <c r="I89" s="242">
        <f t="shared" si="11"/>
        <v>0.66007407407407415</v>
      </c>
      <c r="J89" s="243"/>
      <c r="K89" s="241"/>
      <c r="L89" s="241"/>
      <c r="M89" s="244"/>
      <c r="N89" s="195"/>
    </row>
    <row r="90" spans="1:14" x14ac:dyDescent="0.25">
      <c r="A90" s="240"/>
      <c r="B90" s="245"/>
      <c r="C90" s="241"/>
      <c r="D90" s="242"/>
      <c r="E90" s="242"/>
      <c r="F90" s="242"/>
      <c r="G90" s="319"/>
      <c r="H90" s="242"/>
      <c r="I90" s="242"/>
      <c r="J90" s="243"/>
      <c r="K90" s="241"/>
      <c r="L90" s="241"/>
      <c r="M90" s="244"/>
      <c r="N90" s="195"/>
    </row>
    <row r="91" spans="1:14" x14ac:dyDescent="0.25">
      <c r="A91" s="240"/>
      <c r="B91" s="51" t="s">
        <v>334</v>
      </c>
      <c r="C91" s="241"/>
      <c r="D91" s="242"/>
      <c r="E91" s="242"/>
      <c r="F91" s="242"/>
      <c r="G91" s="319"/>
      <c r="H91" s="242"/>
      <c r="I91" s="242"/>
      <c r="J91" s="243"/>
      <c r="K91" s="241"/>
      <c r="L91" s="241"/>
      <c r="N91" s="195"/>
    </row>
    <row r="92" spans="1:14" x14ac:dyDescent="0.25">
      <c r="A92" s="240"/>
      <c r="B92" s="245" t="s">
        <v>335</v>
      </c>
      <c r="C92" s="241" t="s">
        <v>336</v>
      </c>
      <c r="D92" s="242">
        <v>1</v>
      </c>
      <c r="E92" s="242">
        <v>20.72</v>
      </c>
      <c r="F92" s="242">
        <v>0.67</v>
      </c>
      <c r="G92" s="319"/>
      <c r="H92" s="256">
        <f t="shared" ref="H92:H99" si="12">PRODUCT(D92:G92)</f>
        <v>13.882400000000001</v>
      </c>
      <c r="I92" s="242">
        <f t="shared" ref="I92:I99" si="13">H92/27</f>
        <v>0.51416296296296293</v>
      </c>
      <c r="J92" s="243"/>
      <c r="K92" s="241"/>
      <c r="L92" s="241"/>
      <c r="M92" s="244"/>
      <c r="N92" s="195"/>
    </row>
    <row r="93" spans="1:14" x14ac:dyDescent="0.25">
      <c r="A93" s="240"/>
      <c r="B93" s="245" t="s">
        <v>337</v>
      </c>
      <c r="C93" s="241" t="s">
        <v>336</v>
      </c>
      <c r="D93" s="242">
        <v>1</v>
      </c>
      <c r="E93" s="242">
        <v>20.72</v>
      </c>
      <c r="F93" s="242">
        <v>0.67</v>
      </c>
      <c r="G93" s="319"/>
      <c r="H93" s="256">
        <f t="shared" si="12"/>
        <v>13.882400000000001</v>
      </c>
      <c r="I93" s="242">
        <f t="shared" si="13"/>
        <v>0.51416296296296293</v>
      </c>
      <c r="J93" s="243"/>
      <c r="K93" s="241"/>
      <c r="L93" s="241"/>
      <c r="M93" s="244"/>
      <c r="N93" s="195"/>
    </row>
    <row r="94" spans="1:14" x14ac:dyDescent="0.25">
      <c r="A94" s="240"/>
      <c r="B94" s="245" t="s">
        <v>335</v>
      </c>
      <c r="C94" s="241" t="s">
        <v>336</v>
      </c>
      <c r="D94" s="242">
        <v>1</v>
      </c>
      <c r="E94" s="242">
        <v>11.67</v>
      </c>
      <c r="F94" s="242">
        <v>0.67</v>
      </c>
      <c r="G94" s="319"/>
      <c r="H94" s="256">
        <f t="shared" si="12"/>
        <v>7.8189000000000002</v>
      </c>
      <c r="I94" s="242">
        <f t="shared" si="13"/>
        <v>0.2895888888888889</v>
      </c>
      <c r="J94" s="243"/>
      <c r="K94" s="241"/>
      <c r="L94" s="241"/>
      <c r="M94" s="244"/>
      <c r="N94" s="195"/>
    </row>
    <row r="95" spans="1:14" x14ac:dyDescent="0.25">
      <c r="A95" s="240"/>
      <c r="B95" s="245" t="s">
        <v>335</v>
      </c>
      <c r="C95" s="241" t="s">
        <v>336</v>
      </c>
      <c r="D95" s="242">
        <v>2</v>
      </c>
      <c r="E95" s="242">
        <v>2.08</v>
      </c>
      <c r="F95" s="242">
        <v>0.67</v>
      </c>
      <c r="G95" s="319"/>
      <c r="H95" s="256">
        <f t="shared" si="12"/>
        <v>2.7872000000000003</v>
      </c>
      <c r="I95" s="242">
        <f t="shared" si="13"/>
        <v>0.10322962962962964</v>
      </c>
      <c r="J95" s="243"/>
      <c r="K95" s="241"/>
      <c r="L95" s="241"/>
      <c r="M95" s="244"/>
      <c r="N95" s="195"/>
    </row>
    <row r="96" spans="1:14" x14ac:dyDescent="0.25">
      <c r="A96" s="240"/>
      <c r="B96" s="245" t="s">
        <v>335</v>
      </c>
      <c r="C96" s="241" t="s">
        <v>336</v>
      </c>
      <c r="D96" s="242">
        <v>1</v>
      </c>
      <c r="E96" s="242">
        <v>20.67</v>
      </c>
      <c r="F96" s="242">
        <v>0.67</v>
      </c>
      <c r="G96" s="319"/>
      <c r="H96" s="256">
        <f t="shared" si="12"/>
        <v>13.848900000000002</v>
      </c>
      <c r="I96" s="242">
        <f t="shared" si="13"/>
        <v>0.51292222222222228</v>
      </c>
      <c r="J96" s="243"/>
      <c r="K96" s="241"/>
      <c r="L96" s="241"/>
      <c r="M96" s="244"/>
      <c r="N96" s="195"/>
    </row>
    <row r="97" spans="1:14" x14ac:dyDescent="0.25">
      <c r="A97" s="240"/>
      <c r="B97" s="245" t="s">
        <v>335</v>
      </c>
      <c r="C97" s="241" t="s">
        <v>336</v>
      </c>
      <c r="D97" s="242">
        <v>1</v>
      </c>
      <c r="E97" s="242">
        <v>8.44</v>
      </c>
      <c r="F97" s="242">
        <v>0.67</v>
      </c>
      <c r="G97" s="319"/>
      <c r="H97" s="256">
        <f t="shared" si="12"/>
        <v>5.6547999999999998</v>
      </c>
      <c r="I97" s="242">
        <f t="shared" si="13"/>
        <v>0.20943703703703703</v>
      </c>
      <c r="J97" s="243"/>
      <c r="K97" s="241"/>
      <c r="L97" s="241"/>
      <c r="M97" s="244"/>
      <c r="N97" s="195"/>
    </row>
    <row r="98" spans="1:14" x14ac:dyDescent="0.25">
      <c r="A98" s="240"/>
      <c r="B98" s="245" t="s">
        <v>335</v>
      </c>
      <c r="C98" s="241" t="s">
        <v>336</v>
      </c>
      <c r="D98" s="242">
        <v>1</v>
      </c>
      <c r="E98" s="242">
        <v>20.83</v>
      </c>
      <c r="F98" s="242">
        <v>0.67</v>
      </c>
      <c r="G98" s="319"/>
      <c r="H98" s="256">
        <f t="shared" si="12"/>
        <v>13.956099999999999</v>
      </c>
      <c r="I98" s="242">
        <f t="shared" si="13"/>
        <v>0.51689259259259257</v>
      </c>
      <c r="J98" s="243"/>
      <c r="K98" s="241"/>
      <c r="L98" s="241"/>
      <c r="M98" s="244"/>
      <c r="N98" s="195"/>
    </row>
    <row r="99" spans="1:14" x14ac:dyDescent="0.25">
      <c r="A99" s="240"/>
      <c r="B99" s="245" t="s">
        <v>338</v>
      </c>
      <c r="C99" s="241" t="s">
        <v>339</v>
      </c>
      <c r="D99" s="242">
        <v>2</v>
      </c>
      <c r="E99" s="242">
        <v>29.27</v>
      </c>
      <c r="F99" s="242">
        <v>0.67</v>
      </c>
      <c r="G99" s="319"/>
      <c r="H99" s="256">
        <f t="shared" si="12"/>
        <v>39.221800000000002</v>
      </c>
      <c r="I99" s="242">
        <f t="shared" si="13"/>
        <v>1.4526592592592593</v>
      </c>
      <c r="J99" s="243"/>
      <c r="K99" s="241"/>
      <c r="L99" s="241"/>
      <c r="M99" s="244"/>
      <c r="N99" s="195"/>
    </row>
    <row r="101" spans="1:14" x14ac:dyDescent="0.25">
      <c r="A101" s="240"/>
      <c r="B101" s="51" t="s">
        <v>359</v>
      </c>
      <c r="C101" s="241"/>
      <c r="D101" s="242"/>
      <c r="E101" s="242"/>
      <c r="F101" s="242"/>
      <c r="G101" s="319"/>
      <c r="H101" s="242"/>
      <c r="I101" s="242"/>
      <c r="J101" s="243"/>
      <c r="K101" s="241"/>
      <c r="L101" s="241"/>
      <c r="M101" s="244"/>
      <c r="N101" s="195"/>
    </row>
    <row r="102" spans="1:14" x14ac:dyDescent="0.25">
      <c r="A102" s="240"/>
      <c r="B102" s="245" t="s">
        <v>360</v>
      </c>
      <c r="C102" s="241" t="s">
        <v>361</v>
      </c>
      <c r="D102" s="242">
        <v>1</v>
      </c>
      <c r="E102" s="242">
        <v>5.67</v>
      </c>
      <c r="F102" s="242">
        <v>1.33</v>
      </c>
      <c r="G102" s="319"/>
      <c r="H102" s="256">
        <f t="shared" ref="H102:H107" si="14">PRODUCT(D102:G102)</f>
        <v>7.5411000000000001</v>
      </c>
      <c r="I102" s="242">
        <f t="shared" ref="I102:I107" si="15">H102/27</f>
        <v>0.27929999999999999</v>
      </c>
      <c r="J102" s="243"/>
      <c r="K102" s="241"/>
      <c r="L102" s="241"/>
      <c r="M102" s="244"/>
      <c r="N102" s="195"/>
    </row>
    <row r="103" spans="1:14" x14ac:dyDescent="0.25">
      <c r="A103" s="240"/>
      <c r="B103" s="245"/>
      <c r="C103" s="241" t="s">
        <v>361</v>
      </c>
      <c r="D103" s="242">
        <v>1</v>
      </c>
      <c r="E103" s="242">
        <v>68.31</v>
      </c>
      <c r="F103" s="242">
        <v>1.33</v>
      </c>
      <c r="G103" s="319"/>
      <c r="H103" s="256">
        <f t="shared" si="14"/>
        <v>90.852300000000014</v>
      </c>
      <c r="I103" s="242">
        <f t="shared" si="15"/>
        <v>3.3649000000000004</v>
      </c>
      <c r="J103" s="243"/>
      <c r="K103" s="241"/>
      <c r="L103" s="241"/>
      <c r="M103" s="244"/>
      <c r="N103" s="195"/>
    </row>
    <row r="104" spans="1:14" x14ac:dyDescent="0.25">
      <c r="A104" s="240"/>
      <c r="B104" s="245"/>
      <c r="C104" s="241" t="s">
        <v>362</v>
      </c>
      <c r="D104" s="242">
        <v>1</v>
      </c>
      <c r="E104" s="242">
        <v>44</v>
      </c>
      <c r="F104" s="242">
        <v>1.33</v>
      </c>
      <c r="G104" s="319"/>
      <c r="H104" s="256">
        <f t="shared" si="14"/>
        <v>58.52</v>
      </c>
      <c r="I104" s="242">
        <f t="shared" si="15"/>
        <v>2.1674074074074077</v>
      </c>
      <c r="J104" s="243"/>
      <c r="K104" s="241"/>
      <c r="L104" s="241"/>
      <c r="M104" s="244"/>
      <c r="N104" s="195"/>
    </row>
    <row r="105" spans="1:14" x14ac:dyDescent="0.25">
      <c r="A105" s="240"/>
      <c r="B105" s="245"/>
      <c r="C105" s="241" t="s">
        <v>363</v>
      </c>
      <c r="D105" s="242">
        <v>1</v>
      </c>
      <c r="E105" s="242">
        <v>77</v>
      </c>
      <c r="F105" s="242">
        <v>1.33</v>
      </c>
      <c r="G105" s="319"/>
      <c r="H105" s="256">
        <f t="shared" si="14"/>
        <v>102.41000000000001</v>
      </c>
      <c r="I105" s="242">
        <f t="shared" si="15"/>
        <v>3.7929629629629633</v>
      </c>
      <c r="J105" s="243"/>
      <c r="K105" s="241"/>
      <c r="L105" s="241"/>
      <c r="M105" s="244"/>
      <c r="N105" s="195"/>
    </row>
    <row r="106" spans="1:14" x14ac:dyDescent="0.25">
      <c r="A106" s="240"/>
      <c r="B106" s="245"/>
      <c r="C106" s="241" t="s">
        <v>364</v>
      </c>
      <c r="D106" s="242">
        <v>1</v>
      </c>
      <c r="E106" s="242">
        <v>5.58</v>
      </c>
      <c r="F106" s="242">
        <v>1.33</v>
      </c>
      <c r="G106" s="319"/>
      <c r="H106" s="256">
        <f t="shared" si="14"/>
        <v>7.4214000000000002</v>
      </c>
      <c r="I106" s="242">
        <f t="shared" si="15"/>
        <v>0.27486666666666665</v>
      </c>
      <c r="J106" s="243"/>
      <c r="K106" s="241"/>
      <c r="L106" s="241"/>
      <c r="M106" s="244"/>
      <c r="N106" s="195"/>
    </row>
    <row r="107" spans="1:14" x14ac:dyDescent="0.25">
      <c r="A107" s="240"/>
      <c r="B107" s="245"/>
      <c r="C107" s="241" t="s">
        <v>366</v>
      </c>
      <c r="D107" s="242">
        <v>1</v>
      </c>
      <c r="E107" s="242">
        <v>46</v>
      </c>
      <c r="F107" s="242">
        <v>1.33</v>
      </c>
      <c r="G107" s="319"/>
      <c r="H107" s="256">
        <f t="shared" si="14"/>
        <v>61.180000000000007</v>
      </c>
      <c r="I107" s="242">
        <f t="shared" si="15"/>
        <v>2.2659259259259263</v>
      </c>
      <c r="J107" s="243"/>
      <c r="K107" s="241"/>
      <c r="L107" s="241"/>
      <c r="M107" s="244"/>
      <c r="N107" s="195"/>
    </row>
    <row r="108" spans="1:14" x14ac:dyDescent="0.25">
      <c r="A108" s="240"/>
      <c r="B108" s="245"/>
      <c r="C108" s="241"/>
      <c r="D108" s="242"/>
      <c r="E108" s="242"/>
      <c r="F108" s="242"/>
      <c r="G108" s="319"/>
      <c r="H108" s="256"/>
      <c r="I108" s="242"/>
      <c r="J108" s="243"/>
      <c r="K108" s="241"/>
      <c r="L108" s="241"/>
      <c r="M108" s="244"/>
      <c r="N108" s="195"/>
    </row>
    <row r="109" spans="1:14" x14ac:dyDescent="0.25">
      <c r="A109" s="240"/>
      <c r="B109" s="51" t="s">
        <v>499</v>
      </c>
      <c r="C109" s="241"/>
      <c r="D109" s="242"/>
      <c r="E109" s="242"/>
      <c r="F109" s="242"/>
      <c r="G109" s="319"/>
      <c r="H109" s="242"/>
      <c r="I109" s="242"/>
      <c r="J109" s="243"/>
      <c r="K109" s="241"/>
      <c r="L109" s="241"/>
      <c r="M109" s="244"/>
      <c r="N109" s="195"/>
    </row>
    <row r="110" spans="1:14" x14ac:dyDescent="0.25">
      <c r="A110" s="240"/>
      <c r="B110" s="245"/>
      <c r="C110" s="241" t="s">
        <v>372</v>
      </c>
      <c r="D110" s="242">
        <v>5</v>
      </c>
      <c r="E110" s="242">
        <f>4.67</f>
        <v>4.67</v>
      </c>
      <c r="F110" s="242">
        <f>4.67</f>
        <v>4.67</v>
      </c>
      <c r="G110" s="319">
        <v>5</v>
      </c>
      <c r="H110" s="242">
        <f>+PRODUCT(D110:G110)</f>
        <v>545.22249999999997</v>
      </c>
      <c r="I110" s="242">
        <f>H110/27</f>
        <v>20.193425925925926</v>
      </c>
      <c r="J110" s="243"/>
      <c r="K110" s="241"/>
      <c r="L110" s="241"/>
      <c r="M110" s="244"/>
      <c r="N110" s="195"/>
    </row>
    <row r="111" spans="1:14" x14ac:dyDescent="0.25">
      <c r="A111" s="240"/>
      <c r="B111" s="245"/>
      <c r="C111" s="241" t="s">
        <v>373</v>
      </c>
      <c r="D111" s="242">
        <v>2</v>
      </c>
      <c r="E111" s="242">
        <f>4.67</f>
        <v>4.67</v>
      </c>
      <c r="F111" s="242">
        <f>4.67</f>
        <v>4.67</v>
      </c>
      <c r="G111" s="319">
        <v>5</v>
      </c>
      <c r="H111" s="242">
        <f>+PRODUCT(D111:G111)</f>
        <v>218.08899999999997</v>
      </c>
      <c r="I111" s="242">
        <f>H111/27</f>
        <v>8.0773703703703692</v>
      </c>
      <c r="J111" s="243"/>
      <c r="K111" s="241"/>
      <c r="L111" s="241"/>
      <c r="M111" s="244"/>
      <c r="N111" s="195"/>
    </row>
    <row r="112" spans="1:14" x14ac:dyDescent="0.25">
      <c r="A112" s="240"/>
      <c r="B112" s="245"/>
      <c r="C112" s="241"/>
      <c r="D112" s="242"/>
      <c r="E112" s="242"/>
      <c r="F112" s="242"/>
      <c r="G112" s="319"/>
      <c r="H112" s="242"/>
      <c r="I112" s="242"/>
      <c r="J112" s="243"/>
      <c r="K112" s="241"/>
      <c r="L112" s="241"/>
      <c r="M112" s="244"/>
      <c r="N112" s="195"/>
    </row>
    <row r="113" spans="1:14" x14ac:dyDescent="0.25">
      <c r="A113" s="240"/>
      <c r="B113" s="245" t="s">
        <v>503</v>
      </c>
      <c r="C113" s="241"/>
      <c r="D113" s="242">
        <v>2</v>
      </c>
      <c r="E113" s="242">
        <v>7.67</v>
      </c>
      <c r="F113" s="242">
        <f>1.33</f>
        <v>1.33</v>
      </c>
      <c r="G113" s="319">
        <v>3.5</v>
      </c>
      <c r="H113" s="256">
        <f>PRODUCT(D113:G113)</f>
        <v>71.407700000000006</v>
      </c>
      <c r="I113" s="242">
        <f>H113/27</f>
        <v>2.6447296296296297</v>
      </c>
      <c r="J113" s="243"/>
      <c r="K113" s="241"/>
      <c r="L113" s="241"/>
      <c r="M113" s="244"/>
      <c r="N113" s="195"/>
    </row>
    <row r="114" spans="1:14" x14ac:dyDescent="0.25">
      <c r="A114" s="240"/>
      <c r="B114" s="245"/>
      <c r="C114" s="241"/>
      <c r="D114" s="242"/>
      <c r="E114" s="242"/>
      <c r="F114" s="242"/>
      <c r="G114" s="319"/>
      <c r="H114" s="256"/>
      <c r="I114" s="242"/>
      <c r="J114" s="243"/>
      <c r="K114" s="241"/>
      <c r="L114" s="241"/>
      <c r="M114" s="244"/>
      <c r="N114" s="195"/>
    </row>
    <row r="115" spans="1:14" s="272" customFormat="1" ht="12.75" x14ac:dyDescent="0.25">
      <c r="A115" s="279"/>
      <c r="B115" s="281" t="s">
        <v>572</v>
      </c>
      <c r="C115" s="281"/>
      <c r="D115" s="279"/>
      <c r="E115" s="282"/>
      <c r="F115" s="282"/>
      <c r="G115" s="331"/>
      <c r="H115" s="282"/>
      <c r="I115" s="282">
        <f>SUM(H116:H123)</f>
        <v>1232.48</v>
      </c>
      <c r="J115" s="282" t="s">
        <v>141</v>
      </c>
      <c r="K115" s="281"/>
      <c r="L115" s="281"/>
      <c r="M115" s="306"/>
    </row>
    <row r="116" spans="1:14" s="290" customFormat="1" ht="12.75" x14ac:dyDescent="0.25">
      <c r="A116" s="286"/>
      <c r="B116" s="245"/>
      <c r="C116" s="245" t="s">
        <v>392</v>
      </c>
      <c r="D116" s="275">
        <v>1</v>
      </c>
      <c r="E116" s="275">
        <v>153.41</v>
      </c>
      <c r="F116" s="275"/>
      <c r="G116" s="329"/>
      <c r="H116" s="275">
        <f t="shared" ref="H116:H123" si="16">PRODUCT(D116:G116)</f>
        <v>153.41</v>
      </c>
      <c r="I116" s="275"/>
      <c r="J116" s="286"/>
      <c r="K116" s="245"/>
      <c r="L116" s="245"/>
      <c r="M116" s="288"/>
      <c r="N116" s="289"/>
    </row>
    <row r="117" spans="1:14" s="290" customFormat="1" ht="12.75" x14ac:dyDescent="0.25">
      <c r="A117" s="286"/>
      <c r="B117" s="245"/>
      <c r="C117" s="245" t="s">
        <v>393</v>
      </c>
      <c r="D117" s="275">
        <v>1</v>
      </c>
      <c r="E117" s="275">
        <v>152.63</v>
      </c>
      <c r="F117" s="275"/>
      <c r="G117" s="329"/>
      <c r="H117" s="275">
        <f t="shared" si="16"/>
        <v>152.63</v>
      </c>
      <c r="I117" s="275"/>
      <c r="J117" s="286"/>
      <c r="K117" s="245"/>
      <c r="L117" s="245"/>
      <c r="M117" s="288"/>
      <c r="N117" s="289"/>
    </row>
    <row r="118" spans="1:14" s="290" customFormat="1" ht="12.75" x14ac:dyDescent="0.25">
      <c r="A118" s="286"/>
      <c r="B118" s="245"/>
      <c r="C118" s="245" t="s">
        <v>394</v>
      </c>
      <c r="D118" s="275">
        <v>1</v>
      </c>
      <c r="E118" s="275">
        <v>36.26</v>
      </c>
      <c r="F118" s="275"/>
      <c r="G118" s="329"/>
      <c r="H118" s="275">
        <f t="shared" si="16"/>
        <v>36.26</v>
      </c>
      <c r="I118" s="275"/>
      <c r="J118" s="286"/>
      <c r="K118" s="245"/>
      <c r="L118" s="245"/>
      <c r="M118" s="288"/>
      <c r="N118" s="289"/>
    </row>
    <row r="119" spans="1:14" s="290" customFormat="1" ht="12.75" x14ac:dyDescent="0.25">
      <c r="A119" s="286"/>
      <c r="B119" s="245"/>
      <c r="C119" s="245" t="s">
        <v>395</v>
      </c>
      <c r="D119" s="275">
        <v>1</v>
      </c>
      <c r="E119" s="275">
        <v>568.36</v>
      </c>
      <c r="F119" s="275"/>
      <c r="G119" s="329"/>
      <c r="H119" s="275">
        <f t="shared" si="16"/>
        <v>568.36</v>
      </c>
      <c r="I119" s="275"/>
      <c r="J119" s="286"/>
      <c r="K119" s="245"/>
      <c r="L119" s="245"/>
      <c r="M119" s="288"/>
      <c r="N119" s="289"/>
    </row>
    <row r="120" spans="1:14" s="290" customFormat="1" ht="12.75" x14ac:dyDescent="0.25">
      <c r="A120" s="286"/>
      <c r="B120" s="245"/>
      <c r="C120" s="245" t="s">
        <v>396</v>
      </c>
      <c r="D120" s="275">
        <v>1</v>
      </c>
      <c r="E120" s="275">
        <v>105.12</v>
      </c>
      <c r="F120" s="275"/>
      <c r="G120" s="329"/>
      <c r="H120" s="275">
        <f t="shared" si="16"/>
        <v>105.12</v>
      </c>
      <c r="I120" s="275"/>
      <c r="J120" s="286"/>
      <c r="K120" s="245"/>
      <c r="L120" s="245"/>
      <c r="M120" s="288"/>
      <c r="N120" s="289"/>
    </row>
    <row r="121" spans="1:14" s="290" customFormat="1" ht="12.75" x14ac:dyDescent="0.25">
      <c r="A121" s="286"/>
      <c r="B121" s="245"/>
      <c r="C121" s="245" t="s">
        <v>397</v>
      </c>
      <c r="D121" s="275">
        <v>1</v>
      </c>
      <c r="E121" s="275">
        <v>195.71</v>
      </c>
      <c r="F121" s="275"/>
      <c r="G121" s="329"/>
      <c r="H121" s="275">
        <f t="shared" si="16"/>
        <v>195.71</v>
      </c>
      <c r="I121" s="275"/>
      <c r="J121" s="286"/>
      <c r="K121" s="245"/>
      <c r="L121" s="245"/>
      <c r="M121" s="288"/>
      <c r="N121" s="289"/>
    </row>
    <row r="122" spans="1:14" s="290" customFormat="1" ht="12.75" x14ac:dyDescent="0.25">
      <c r="A122" s="286"/>
      <c r="B122" s="245"/>
      <c r="C122" s="245" t="s">
        <v>398</v>
      </c>
      <c r="D122" s="275">
        <v>1</v>
      </c>
      <c r="E122" s="275">
        <v>10.24</v>
      </c>
      <c r="F122" s="275"/>
      <c r="G122" s="329"/>
      <c r="H122" s="275">
        <f t="shared" si="16"/>
        <v>10.24</v>
      </c>
      <c r="I122" s="275"/>
      <c r="J122" s="286"/>
      <c r="K122" s="245"/>
      <c r="L122" s="245"/>
      <c r="M122" s="288"/>
      <c r="N122" s="289"/>
    </row>
    <row r="123" spans="1:14" s="290" customFormat="1" ht="12.75" x14ac:dyDescent="0.25">
      <c r="A123" s="286"/>
      <c r="B123" s="245"/>
      <c r="C123" s="245" t="s">
        <v>399</v>
      </c>
      <c r="D123" s="275">
        <v>1</v>
      </c>
      <c r="E123" s="275">
        <v>10.75</v>
      </c>
      <c r="F123" s="275"/>
      <c r="G123" s="329"/>
      <c r="H123" s="275">
        <f t="shared" si="16"/>
        <v>10.75</v>
      </c>
      <c r="I123" s="275"/>
      <c r="J123" s="286"/>
      <c r="K123" s="245"/>
      <c r="L123" s="245"/>
      <c r="M123" s="288"/>
      <c r="N123" s="289"/>
    </row>
    <row r="124" spans="1:14" s="290" customFormat="1" ht="12.75" x14ac:dyDescent="0.25">
      <c r="A124" s="286"/>
      <c r="B124" s="245"/>
      <c r="C124" s="245"/>
      <c r="D124" s="275"/>
      <c r="E124" s="275"/>
      <c r="F124" s="275"/>
      <c r="G124" s="329"/>
      <c r="H124" s="275"/>
      <c r="I124" s="275"/>
      <c r="J124" s="286"/>
      <c r="K124" s="245"/>
      <c r="L124" s="245"/>
      <c r="M124" s="288"/>
      <c r="N124" s="289"/>
    </row>
    <row r="125" spans="1:14" s="290" customFormat="1" ht="12.75" x14ac:dyDescent="0.25">
      <c r="B125" s="245"/>
      <c r="C125" s="245"/>
      <c r="D125" s="275"/>
      <c r="E125" s="350"/>
      <c r="F125" s="351"/>
      <c r="G125" s="329"/>
      <c r="H125" s="275"/>
      <c r="I125" s="275"/>
      <c r="K125" s="288"/>
      <c r="L125" s="288"/>
      <c r="M125" s="288"/>
      <c r="N125" s="289"/>
    </row>
    <row r="126" spans="1:14" x14ac:dyDescent="0.25">
      <c r="B126" s="276" t="s">
        <v>504</v>
      </c>
      <c r="C126" s="241"/>
      <c r="D126" s="242"/>
      <c r="E126" s="257"/>
      <c r="F126" s="258"/>
      <c r="G126" s="319"/>
      <c r="H126" s="242"/>
      <c r="I126" s="242"/>
    </row>
    <row r="127" spans="1:14" x14ac:dyDescent="0.25">
      <c r="A127" s="240"/>
      <c r="B127" s="245" t="s">
        <v>504</v>
      </c>
      <c r="C127" s="241"/>
      <c r="D127" s="242"/>
      <c r="E127" s="242"/>
      <c r="F127" s="242"/>
      <c r="G127" s="319"/>
      <c r="H127" s="256"/>
      <c r="I127" s="259">
        <f>+SUM(I128:I129)</f>
        <v>70.504087407407397</v>
      </c>
      <c r="J127" s="240" t="s">
        <v>222</v>
      </c>
      <c r="K127" s="241"/>
      <c r="L127" s="241"/>
      <c r="M127" s="244"/>
      <c r="N127" s="195"/>
    </row>
    <row r="128" spans="1:14" x14ac:dyDescent="0.25">
      <c r="A128" s="240"/>
      <c r="B128" s="245"/>
      <c r="C128" s="241" t="s">
        <v>369</v>
      </c>
      <c r="D128" s="242">
        <v>1</v>
      </c>
      <c r="E128" s="242">
        <v>5458.2</v>
      </c>
      <c r="F128" s="242"/>
      <c r="G128" s="324">
        <f>4/12</f>
        <v>0.33333333333333331</v>
      </c>
      <c r="H128" s="256">
        <f>+PRODUCT(D128:G128)</f>
        <v>1819.3999999999999</v>
      </c>
      <c r="I128" s="242">
        <f>H128/27</f>
        <v>67.385185185185179</v>
      </c>
      <c r="J128" s="243" t="s">
        <v>222</v>
      </c>
      <c r="K128" s="241" t="s">
        <v>506</v>
      </c>
      <c r="L128" s="241"/>
      <c r="M128" s="244"/>
      <c r="N128" s="195"/>
    </row>
    <row r="129" spans="1:14" x14ac:dyDescent="0.25">
      <c r="A129" s="240"/>
      <c r="B129" s="245"/>
      <c r="C129" s="241" t="s">
        <v>505</v>
      </c>
      <c r="D129" s="242">
        <v>1</v>
      </c>
      <c r="E129" s="242">
        <f>23.47*10.764</f>
        <v>252.63107999999997</v>
      </c>
      <c r="F129" s="242"/>
      <c r="G129" s="324">
        <f>4/12</f>
        <v>0.33333333333333331</v>
      </c>
      <c r="H129" s="256">
        <f>+PRODUCT(D129:G129)</f>
        <v>84.21035999999998</v>
      </c>
      <c r="I129" s="242">
        <f>H129/27</f>
        <v>3.1189022222222214</v>
      </c>
      <c r="J129" s="243" t="s">
        <v>222</v>
      </c>
      <c r="K129" s="241"/>
      <c r="L129" s="241"/>
      <c r="M129" s="244"/>
      <c r="N129" s="195"/>
    </row>
    <row r="130" spans="1:14" s="272" customFormat="1" ht="12.75" x14ac:dyDescent="0.25">
      <c r="A130" s="279"/>
      <c r="B130" s="281" t="s">
        <v>566</v>
      </c>
      <c r="C130" s="281"/>
      <c r="D130" s="279"/>
      <c r="E130" s="282"/>
      <c r="F130" s="282"/>
      <c r="G130" s="331"/>
      <c r="H130" s="282"/>
      <c r="I130" s="282">
        <f>SUM(H131:H131)</f>
        <v>5458.2</v>
      </c>
      <c r="J130" s="282" t="s">
        <v>141</v>
      </c>
      <c r="K130" s="281"/>
      <c r="L130" s="281"/>
      <c r="M130" s="306"/>
    </row>
    <row r="131" spans="1:14" s="290" customFormat="1" ht="14.45" customHeight="1" x14ac:dyDescent="0.25">
      <c r="A131" s="286"/>
      <c r="B131" s="269"/>
      <c r="C131" s="241" t="s">
        <v>369</v>
      </c>
      <c r="D131" s="255">
        <v>1</v>
      </c>
      <c r="E131" s="554">
        <v>5458.2</v>
      </c>
      <c r="F131" s="555"/>
      <c r="G131" s="255"/>
      <c r="H131" s="256">
        <f>+PRODUCT(D131:G131)</f>
        <v>5458.2</v>
      </c>
      <c r="I131" s="255">
        <f>H131</f>
        <v>5458.2</v>
      </c>
      <c r="J131" s="267"/>
      <c r="K131" s="245"/>
      <c r="L131" s="245"/>
      <c r="M131" s="288"/>
      <c r="N131" s="289"/>
    </row>
    <row r="132" spans="1:14" s="290" customFormat="1" ht="14.45" customHeight="1" x14ac:dyDescent="0.25">
      <c r="A132" s="286"/>
      <c r="B132" s="269"/>
      <c r="C132" s="269"/>
      <c r="D132" s="255"/>
      <c r="E132" s="344"/>
      <c r="F132" s="345"/>
      <c r="G132" s="255"/>
      <c r="H132" s="256"/>
      <c r="I132" s="255"/>
      <c r="J132" s="267"/>
      <c r="K132" s="245"/>
      <c r="L132" s="245"/>
      <c r="M132" s="288"/>
      <c r="N132" s="289"/>
    </row>
    <row r="133" spans="1:14" s="272" customFormat="1" ht="12.75" x14ac:dyDescent="0.25">
      <c r="A133" s="279"/>
      <c r="B133" s="281" t="s">
        <v>565</v>
      </c>
      <c r="C133" s="281"/>
      <c r="D133" s="279"/>
      <c r="E133" s="282"/>
      <c r="F133" s="282"/>
      <c r="G133" s="331"/>
      <c r="H133" s="282"/>
      <c r="I133" s="282">
        <f>SUM(H134:H136)</f>
        <v>4584</v>
      </c>
      <c r="J133" s="282" t="s">
        <v>141</v>
      </c>
      <c r="K133" s="281"/>
      <c r="L133" s="281"/>
      <c r="M133" s="306"/>
    </row>
    <row r="134" spans="1:14" s="290" customFormat="1" ht="14.45" customHeight="1" x14ac:dyDescent="0.25">
      <c r="A134" s="286"/>
      <c r="B134" s="269"/>
      <c r="C134" s="241" t="s">
        <v>369</v>
      </c>
      <c r="D134" s="255">
        <v>1</v>
      </c>
      <c r="E134" s="547">
        <v>928</v>
      </c>
      <c r="F134" s="548"/>
      <c r="G134" s="255"/>
      <c r="H134" s="255">
        <f>PRODUCT(D134:G134)</f>
        <v>928</v>
      </c>
      <c r="I134" s="255">
        <f>H134</f>
        <v>928</v>
      </c>
      <c r="J134" s="267"/>
      <c r="K134" s="245"/>
      <c r="L134" s="245"/>
      <c r="M134" s="288"/>
      <c r="N134" s="289"/>
    </row>
    <row r="135" spans="1:14" s="290" customFormat="1" ht="14.45" customHeight="1" x14ac:dyDescent="0.25">
      <c r="A135" s="286"/>
      <c r="B135" s="269"/>
      <c r="C135" s="269"/>
      <c r="D135" s="255">
        <v>1</v>
      </c>
      <c r="E135" s="547">
        <v>3656</v>
      </c>
      <c r="F135" s="548"/>
      <c r="G135" s="255"/>
      <c r="H135" s="255">
        <f>PRODUCT(D135:G135)</f>
        <v>3656</v>
      </c>
      <c r="I135" s="255">
        <f>H135</f>
        <v>3656</v>
      </c>
      <c r="J135" s="267"/>
      <c r="K135" s="245"/>
      <c r="L135" s="245"/>
      <c r="M135" s="288"/>
      <c r="N135" s="289"/>
    </row>
    <row r="136" spans="1:14" s="290" customFormat="1" ht="12.75" x14ac:dyDescent="0.25">
      <c r="A136" s="286"/>
      <c r="B136" s="269"/>
      <c r="C136" s="269"/>
      <c r="D136" s="255"/>
      <c r="E136" s="312"/>
      <c r="F136" s="313"/>
      <c r="G136" s="255"/>
      <c r="H136" s="255"/>
      <c r="I136" s="255"/>
      <c r="J136" s="267"/>
      <c r="K136" s="245"/>
      <c r="L136" s="245"/>
      <c r="M136" s="288"/>
      <c r="N136" s="289"/>
    </row>
    <row r="137" spans="1:14" s="272" customFormat="1" ht="12.75" x14ac:dyDescent="0.25">
      <c r="A137" s="314"/>
      <c r="B137" s="315" t="s">
        <v>367</v>
      </c>
      <c r="C137" s="276"/>
      <c r="D137" s="314"/>
      <c r="E137" s="316"/>
      <c r="F137" s="316"/>
      <c r="G137" s="321"/>
      <c r="H137" s="316"/>
      <c r="I137" s="316">
        <f>+SUM(I138:I174)</f>
        <v>833.17146666666645</v>
      </c>
      <c r="J137" s="314" t="s">
        <v>368</v>
      </c>
      <c r="K137" s="276"/>
      <c r="L137" s="276"/>
      <c r="M137" s="195"/>
    </row>
    <row r="138" spans="1:14" x14ac:dyDescent="0.25">
      <c r="A138" s="240"/>
      <c r="B138" s="245" t="s">
        <v>335</v>
      </c>
      <c r="C138" s="241" t="s">
        <v>336</v>
      </c>
      <c r="D138" s="242">
        <v>1</v>
      </c>
      <c r="E138" s="242">
        <v>20.72</v>
      </c>
      <c r="F138" s="242"/>
      <c r="G138" s="324">
        <f t="shared" ref="G138:G146" si="17">8/12</f>
        <v>0.66666666666666663</v>
      </c>
      <c r="H138" s="256">
        <f t="shared" ref="H138:H145" si="18">PRODUCT(D138:G138)*2</f>
        <v>27.626666666666665</v>
      </c>
      <c r="I138" s="242">
        <f t="shared" ref="I138:I145" si="19">H138</f>
        <v>27.626666666666665</v>
      </c>
      <c r="J138" s="243"/>
      <c r="K138" s="241"/>
      <c r="L138" s="241"/>
      <c r="M138" s="244"/>
      <c r="N138" s="195"/>
    </row>
    <row r="139" spans="1:14" x14ac:dyDescent="0.25">
      <c r="A139" s="240"/>
      <c r="B139" s="245" t="s">
        <v>337</v>
      </c>
      <c r="C139" s="241" t="s">
        <v>336</v>
      </c>
      <c r="D139" s="242">
        <v>1</v>
      </c>
      <c r="E139" s="242">
        <v>20.72</v>
      </c>
      <c r="F139" s="242"/>
      <c r="G139" s="324">
        <f t="shared" si="17"/>
        <v>0.66666666666666663</v>
      </c>
      <c r="H139" s="256">
        <f t="shared" si="18"/>
        <v>27.626666666666665</v>
      </c>
      <c r="I139" s="242">
        <f t="shared" si="19"/>
        <v>27.626666666666665</v>
      </c>
      <c r="J139" s="243"/>
      <c r="K139" s="241"/>
      <c r="L139" s="241"/>
      <c r="M139" s="244"/>
      <c r="N139" s="195"/>
    </row>
    <row r="140" spans="1:14" x14ac:dyDescent="0.25">
      <c r="A140" s="240"/>
      <c r="B140" s="245" t="s">
        <v>335</v>
      </c>
      <c r="C140" s="241" t="s">
        <v>336</v>
      </c>
      <c r="D140" s="242">
        <v>1</v>
      </c>
      <c r="E140" s="242">
        <v>11.67</v>
      </c>
      <c r="F140" s="242"/>
      <c r="G140" s="324">
        <f t="shared" si="17"/>
        <v>0.66666666666666663</v>
      </c>
      <c r="H140" s="256">
        <f t="shared" si="18"/>
        <v>15.559999999999999</v>
      </c>
      <c r="I140" s="242">
        <f t="shared" si="19"/>
        <v>15.559999999999999</v>
      </c>
      <c r="J140" s="243"/>
      <c r="K140" s="241"/>
      <c r="L140" s="241"/>
      <c r="M140" s="244"/>
      <c r="N140" s="195"/>
    </row>
    <row r="141" spans="1:14" x14ac:dyDescent="0.25">
      <c r="A141" s="240"/>
      <c r="B141" s="245" t="s">
        <v>335</v>
      </c>
      <c r="C141" s="241" t="s">
        <v>336</v>
      </c>
      <c r="D141" s="242">
        <v>2</v>
      </c>
      <c r="E141" s="242">
        <v>2.08</v>
      </c>
      <c r="F141" s="242"/>
      <c r="G141" s="324">
        <f t="shared" si="17"/>
        <v>0.66666666666666663</v>
      </c>
      <c r="H141" s="256">
        <f t="shared" si="18"/>
        <v>5.5466666666666669</v>
      </c>
      <c r="I141" s="242">
        <f t="shared" si="19"/>
        <v>5.5466666666666669</v>
      </c>
      <c r="J141" s="243"/>
      <c r="K141" s="241"/>
      <c r="L141" s="241"/>
      <c r="M141" s="244"/>
      <c r="N141" s="195"/>
    </row>
    <row r="142" spans="1:14" x14ac:dyDescent="0.25">
      <c r="A142" s="240"/>
      <c r="B142" s="245" t="s">
        <v>335</v>
      </c>
      <c r="C142" s="241" t="s">
        <v>336</v>
      </c>
      <c r="D142" s="242">
        <v>1</v>
      </c>
      <c r="E142" s="242">
        <v>20.67</v>
      </c>
      <c r="F142" s="242"/>
      <c r="G142" s="324">
        <f t="shared" si="17"/>
        <v>0.66666666666666663</v>
      </c>
      <c r="H142" s="256">
        <f t="shared" si="18"/>
        <v>27.560000000000002</v>
      </c>
      <c r="I142" s="242">
        <f t="shared" si="19"/>
        <v>27.560000000000002</v>
      </c>
      <c r="J142" s="243"/>
      <c r="K142" s="241"/>
      <c r="L142" s="241"/>
      <c r="M142" s="244"/>
      <c r="N142" s="195"/>
    </row>
    <row r="143" spans="1:14" x14ac:dyDescent="0.25">
      <c r="A143" s="240"/>
      <c r="B143" s="245" t="s">
        <v>335</v>
      </c>
      <c r="C143" s="241" t="s">
        <v>336</v>
      </c>
      <c r="D143" s="242">
        <v>1</v>
      </c>
      <c r="E143" s="242">
        <v>8.44</v>
      </c>
      <c r="F143" s="242"/>
      <c r="G143" s="324">
        <f t="shared" si="17"/>
        <v>0.66666666666666663</v>
      </c>
      <c r="H143" s="256">
        <f t="shared" si="18"/>
        <v>11.253333333333332</v>
      </c>
      <c r="I143" s="242">
        <f t="shared" si="19"/>
        <v>11.253333333333332</v>
      </c>
      <c r="J143" s="243"/>
      <c r="K143" s="241"/>
      <c r="L143" s="241"/>
      <c r="M143" s="244"/>
      <c r="N143" s="195"/>
    </row>
    <row r="144" spans="1:14" x14ac:dyDescent="0.25">
      <c r="A144" s="240"/>
      <c r="B144" s="245" t="s">
        <v>335</v>
      </c>
      <c r="C144" s="241" t="s">
        <v>336</v>
      </c>
      <c r="D144" s="242">
        <v>1</v>
      </c>
      <c r="E144" s="242">
        <v>20.83</v>
      </c>
      <c r="F144" s="242"/>
      <c r="G144" s="324">
        <f t="shared" si="17"/>
        <v>0.66666666666666663</v>
      </c>
      <c r="H144" s="256">
        <f t="shared" si="18"/>
        <v>27.77333333333333</v>
      </c>
      <c r="I144" s="242">
        <f t="shared" si="19"/>
        <v>27.77333333333333</v>
      </c>
      <c r="J144" s="243"/>
      <c r="K144" s="241"/>
      <c r="L144" s="241"/>
      <c r="M144" s="244"/>
      <c r="N144" s="195"/>
    </row>
    <row r="145" spans="1:14" x14ac:dyDescent="0.25">
      <c r="A145" s="240"/>
      <c r="B145" s="245" t="s">
        <v>338</v>
      </c>
      <c r="C145" s="241" t="s">
        <v>339</v>
      </c>
      <c r="D145" s="242">
        <v>2</v>
      </c>
      <c r="E145" s="242">
        <v>29.27</v>
      </c>
      <c r="F145" s="242"/>
      <c r="G145" s="324">
        <f t="shared" si="17"/>
        <v>0.66666666666666663</v>
      </c>
      <c r="H145" s="256">
        <f t="shared" si="18"/>
        <v>78.053333333333327</v>
      </c>
      <c r="I145" s="242">
        <f t="shared" si="19"/>
        <v>78.053333333333327</v>
      </c>
      <c r="J145" s="243"/>
      <c r="K145" s="241"/>
      <c r="L145" s="241"/>
      <c r="M145" s="244"/>
      <c r="N145" s="195"/>
    </row>
    <row r="146" spans="1:14" x14ac:dyDescent="0.25">
      <c r="A146" s="240"/>
      <c r="B146" s="245"/>
      <c r="C146" s="241"/>
      <c r="D146" s="242"/>
      <c r="E146" s="242"/>
      <c r="F146" s="242"/>
      <c r="G146" s="324">
        <f t="shared" si="17"/>
        <v>0.66666666666666663</v>
      </c>
      <c r="H146" s="256"/>
      <c r="I146" s="242"/>
      <c r="J146" s="243"/>
      <c r="K146" s="241"/>
      <c r="L146" s="241"/>
      <c r="M146" s="244"/>
      <c r="N146" s="195"/>
    </row>
    <row r="147" spans="1:14" x14ac:dyDescent="0.25">
      <c r="A147" s="240"/>
      <c r="B147" s="245" t="s">
        <v>328</v>
      </c>
      <c r="C147" s="241"/>
      <c r="D147" s="242"/>
      <c r="E147" s="242"/>
      <c r="F147" s="242"/>
      <c r="G147" s="319"/>
      <c r="H147" s="256"/>
      <c r="I147" s="242"/>
      <c r="J147" s="243"/>
      <c r="K147" s="241"/>
      <c r="L147" s="241"/>
      <c r="M147" s="244"/>
      <c r="N147" s="195"/>
    </row>
    <row r="148" spans="1:14" x14ac:dyDescent="0.25">
      <c r="A148" s="240"/>
      <c r="B148" s="245" t="s">
        <v>354</v>
      </c>
      <c r="C148" s="241" t="s">
        <v>329</v>
      </c>
      <c r="D148" s="242">
        <v>1</v>
      </c>
      <c r="E148" s="242">
        <v>19.34</v>
      </c>
      <c r="F148" s="242"/>
      <c r="G148" s="324">
        <f t="shared" ref="G148:G156" si="20">8/12</f>
        <v>0.66666666666666663</v>
      </c>
      <c r="H148" s="256">
        <f t="shared" ref="H148:H156" si="21">PRODUCT(D148:G148)*2</f>
        <v>25.786666666666665</v>
      </c>
      <c r="I148" s="242">
        <f t="shared" ref="I148:I156" si="22">H148</f>
        <v>25.786666666666665</v>
      </c>
      <c r="J148" s="243"/>
      <c r="K148" s="241"/>
      <c r="L148" s="241"/>
      <c r="M148" s="244"/>
      <c r="N148" s="195"/>
    </row>
    <row r="149" spans="1:14" x14ac:dyDescent="0.25">
      <c r="A149" s="240"/>
      <c r="B149" s="245" t="s">
        <v>330</v>
      </c>
      <c r="C149" s="241" t="s">
        <v>327</v>
      </c>
      <c r="D149" s="242">
        <v>1</v>
      </c>
      <c r="E149" s="242">
        <v>6.02</v>
      </c>
      <c r="F149" s="242"/>
      <c r="G149" s="324">
        <f t="shared" si="20"/>
        <v>0.66666666666666663</v>
      </c>
      <c r="H149" s="256">
        <f t="shared" si="21"/>
        <v>8.0266666666666655</v>
      </c>
      <c r="I149" s="242">
        <f t="shared" si="22"/>
        <v>8.0266666666666655</v>
      </c>
      <c r="J149" s="243"/>
      <c r="K149" s="241"/>
      <c r="L149" s="241"/>
      <c r="M149" s="244"/>
      <c r="N149" s="195"/>
    </row>
    <row r="150" spans="1:14" x14ac:dyDescent="0.25">
      <c r="A150" s="240"/>
      <c r="B150" s="245" t="s">
        <v>330</v>
      </c>
      <c r="C150" s="241" t="s">
        <v>352</v>
      </c>
      <c r="D150" s="242">
        <v>1</v>
      </c>
      <c r="E150" s="242">
        <v>8.6300000000000008</v>
      </c>
      <c r="F150" s="242"/>
      <c r="G150" s="324">
        <f t="shared" si="20"/>
        <v>0.66666666666666663</v>
      </c>
      <c r="H150" s="256">
        <f t="shared" si="21"/>
        <v>11.506666666666668</v>
      </c>
      <c r="I150" s="242">
        <f t="shared" si="22"/>
        <v>11.506666666666668</v>
      </c>
      <c r="J150" s="243"/>
      <c r="K150" s="241"/>
      <c r="L150" s="241"/>
      <c r="M150" s="244"/>
      <c r="N150" s="195"/>
    </row>
    <row r="151" spans="1:14" x14ac:dyDescent="0.25">
      <c r="A151" s="240"/>
      <c r="B151" s="245" t="s">
        <v>331</v>
      </c>
      <c r="C151" s="241" t="s">
        <v>353</v>
      </c>
      <c r="D151" s="242">
        <v>1</v>
      </c>
      <c r="E151" s="242">
        <v>14.59</v>
      </c>
      <c r="F151" s="242"/>
      <c r="G151" s="324">
        <f t="shared" si="20"/>
        <v>0.66666666666666663</v>
      </c>
      <c r="H151" s="256">
        <f t="shared" si="21"/>
        <v>19.453333333333333</v>
      </c>
      <c r="I151" s="242">
        <f t="shared" si="22"/>
        <v>19.453333333333333</v>
      </c>
      <c r="J151" s="243"/>
      <c r="K151" s="241"/>
      <c r="L151" s="241"/>
      <c r="M151" s="244"/>
      <c r="N151" s="195"/>
    </row>
    <row r="152" spans="1:14" x14ac:dyDescent="0.25">
      <c r="A152" s="240"/>
      <c r="B152" s="245" t="s">
        <v>331</v>
      </c>
      <c r="C152" s="241" t="s">
        <v>332</v>
      </c>
      <c r="D152" s="242">
        <v>1</v>
      </c>
      <c r="E152" s="242">
        <v>19.34</v>
      </c>
      <c r="F152" s="242"/>
      <c r="G152" s="324">
        <f t="shared" si="20"/>
        <v>0.66666666666666663</v>
      </c>
      <c r="H152" s="256">
        <f t="shared" si="21"/>
        <v>25.786666666666665</v>
      </c>
      <c r="I152" s="242">
        <f t="shared" si="22"/>
        <v>25.786666666666665</v>
      </c>
      <c r="J152" s="243"/>
      <c r="K152" s="241"/>
      <c r="L152" s="241"/>
      <c r="M152" s="244"/>
      <c r="N152" s="195"/>
    </row>
    <row r="153" spans="1:14" x14ac:dyDescent="0.25">
      <c r="A153" s="240"/>
      <c r="B153" s="245" t="s">
        <v>330</v>
      </c>
      <c r="C153" s="241" t="s">
        <v>356</v>
      </c>
      <c r="D153" s="242">
        <v>1</v>
      </c>
      <c r="E153" s="242">
        <v>8.65</v>
      </c>
      <c r="F153" s="242"/>
      <c r="G153" s="324">
        <f t="shared" si="20"/>
        <v>0.66666666666666663</v>
      </c>
      <c r="H153" s="256">
        <f t="shared" si="21"/>
        <v>11.533333333333333</v>
      </c>
      <c r="I153" s="242">
        <f t="shared" si="22"/>
        <v>11.533333333333333</v>
      </c>
      <c r="J153" s="243"/>
      <c r="K153" s="241"/>
      <c r="L153" s="241"/>
      <c r="M153" s="244"/>
      <c r="N153" s="195"/>
    </row>
    <row r="154" spans="1:14" x14ac:dyDescent="0.25">
      <c r="A154" s="240"/>
      <c r="B154" s="245" t="s">
        <v>330</v>
      </c>
      <c r="C154" s="241" t="s">
        <v>357</v>
      </c>
      <c r="D154" s="242">
        <v>1</v>
      </c>
      <c r="E154" s="242">
        <v>6.47</v>
      </c>
      <c r="F154" s="242"/>
      <c r="G154" s="324">
        <f t="shared" si="20"/>
        <v>0.66666666666666663</v>
      </c>
      <c r="H154" s="256">
        <f t="shared" si="21"/>
        <v>8.6266666666666652</v>
      </c>
      <c r="I154" s="242">
        <f t="shared" si="22"/>
        <v>8.6266666666666652</v>
      </c>
      <c r="J154" s="243"/>
      <c r="K154" s="241"/>
      <c r="L154" s="241"/>
      <c r="M154" s="244"/>
      <c r="N154" s="195"/>
    </row>
    <row r="155" spans="1:14" x14ac:dyDescent="0.25">
      <c r="A155" s="240"/>
      <c r="B155" s="245" t="s">
        <v>355</v>
      </c>
      <c r="C155" s="241" t="s">
        <v>332</v>
      </c>
      <c r="D155" s="242">
        <v>1</v>
      </c>
      <c r="E155" s="242">
        <v>20.67</v>
      </c>
      <c r="F155" s="242"/>
      <c r="G155" s="324">
        <f t="shared" si="20"/>
        <v>0.66666666666666663</v>
      </c>
      <c r="H155" s="256">
        <f t="shared" si="21"/>
        <v>27.560000000000002</v>
      </c>
      <c r="I155" s="242">
        <f t="shared" si="22"/>
        <v>27.560000000000002</v>
      </c>
      <c r="J155" s="243"/>
      <c r="K155" s="241"/>
      <c r="L155" s="241"/>
      <c r="M155" s="244"/>
      <c r="N155" s="195"/>
    </row>
    <row r="156" spans="1:14" x14ac:dyDescent="0.25">
      <c r="A156" s="240"/>
      <c r="B156" s="245" t="s">
        <v>330</v>
      </c>
      <c r="C156" s="241" t="s">
        <v>333</v>
      </c>
      <c r="D156" s="242">
        <v>1</v>
      </c>
      <c r="E156" s="242">
        <v>26.6</v>
      </c>
      <c r="F156" s="242"/>
      <c r="G156" s="324">
        <f t="shared" si="20"/>
        <v>0.66666666666666663</v>
      </c>
      <c r="H156" s="256">
        <f t="shared" si="21"/>
        <v>35.466666666666669</v>
      </c>
      <c r="I156" s="242">
        <f t="shared" si="22"/>
        <v>35.466666666666669</v>
      </c>
      <c r="J156" s="243"/>
      <c r="K156" s="241"/>
      <c r="L156" s="241"/>
      <c r="M156" s="244"/>
      <c r="N156" s="195"/>
    </row>
    <row r="157" spans="1:14" x14ac:dyDescent="0.25">
      <c r="A157" s="240"/>
      <c r="B157" s="245"/>
      <c r="C157" s="241"/>
      <c r="D157" s="242"/>
      <c r="E157" s="242"/>
      <c r="F157" s="242"/>
      <c r="G157" s="319"/>
      <c r="H157" s="256"/>
      <c r="I157" s="242"/>
      <c r="J157" s="243"/>
      <c r="K157" s="241"/>
      <c r="L157" s="241"/>
      <c r="M157" s="244"/>
      <c r="N157" s="195"/>
    </row>
    <row r="158" spans="1:14" x14ac:dyDescent="0.25">
      <c r="A158" s="240"/>
      <c r="B158" s="245" t="s">
        <v>334</v>
      </c>
      <c r="C158" s="241"/>
      <c r="D158" s="242"/>
      <c r="E158" s="242"/>
      <c r="F158" s="242"/>
      <c r="G158" s="319"/>
      <c r="H158" s="256"/>
      <c r="I158" s="242"/>
      <c r="J158" s="243"/>
      <c r="K158" s="241"/>
      <c r="L158" s="241"/>
      <c r="M158" s="244"/>
      <c r="N158" s="195"/>
    </row>
    <row r="159" spans="1:14" x14ac:dyDescent="0.25">
      <c r="A159" s="240"/>
      <c r="B159" s="245" t="s">
        <v>335</v>
      </c>
      <c r="C159" s="241" t="s">
        <v>336</v>
      </c>
      <c r="D159" s="242">
        <v>1</v>
      </c>
      <c r="E159" s="242">
        <v>20.72</v>
      </c>
      <c r="F159" s="242"/>
      <c r="G159" s="324">
        <f t="shared" ref="G159:G166" si="23">8/12</f>
        <v>0.66666666666666663</v>
      </c>
      <c r="H159" s="256">
        <f t="shared" ref="H159:H166" si="24">PRODUCT(D159:G159)</f>
        <v>13.813333333333333</v>
      </c>
      <c r="I159" s="242">
        <f t="shared" ref="I159:I166" si="25">H159</f>
        <v>13.813333333333333</v>
      </c>
      <c r="J159" s="243"/>
      <c r="K159" s="241"/>
      <c r="L159" s="241"/>
      <c r="M159" s="244"/>
      <c r="N159" s="195"/>
    </row>
    <row r="160" spans="1:14" x14ac:dyDescent="0.25">
      <c r="A160" s="240"/>
      <c r="B160" s="245" t="s">
        <v>337</v>
      </c>
      <c r="C160" s="241" t="s">
        <v>336</v>
      </c>
      <c r="D160" s="242">
        <v>1</v>
      </c>
      <c r="E160" s="242">
        <v>20.72</v>
      </c>
      <c r="F160" s="242"/>
      <c r="G160" s="324">
        <f t="shared" si="23"/>
        <v>0.66666666666666663</v>
      </c>
      <c r="H160" s="256">
        <f t="shared" si="24"/>
        <v>13.813333333333333</v>
      </c>
      <c r="I160" s="242">
        <f t="shared" si="25"/>
        <v>13.813333333333333</v>
      </c>
      <c r="J160" s="243"/>
      <c r="K160" s="241"/>
      <c r="L160" s="241"/>
      <c r="M160" s="244"/>
      <c r="N160" s="195"/>
    </row>
    <row r="161" spans="1:14" x14ac:dyDescent="0.25">
      <c r="A161" s="240"/>
      <c r="B161" s="245" t="s">
        <v>335</v>
      </c>
      <c r="C161" s="241" t="s">
        <v>336</v>
      </c>
      <c r="D161" s="242">
        <v>1</v>
      </c>
      <c r="E161" s="242">
        <v>11.67</v>
      </c>
      <c r="F161" s="242"/>
      <c r="G161" s="324">
        <f t="shared" si="23"/>
        <v>0.66666666666666663</v>
      </c>
      <c r="H161" s="256">
        <f t="shared" si="24"/>
        <v>7.7799999999999994</v>
      </c>
      <c r="I161" s="242">
        <f t="shared" si="25"/>
        <v>7.7799999999999994</v>
      </c>
      <c r="J161" s="243"/>
      <c r="K161" s="241"/>
      <c r="L161" s="241"/>
      <c r="M161" s="244"/>
      <c r="N161" s="195"/>
    </row>
    <row r="162" spans="1:14" x14ac:dyDescent="0.25">
      <c r="A162" s="240"/>
      <c r="B162" s="245" t="s">
        <v>335</v>
      </c>
      <c r="C162" s="241" t="s">
        <v>336</v>
      </c>
      <c r="D162" s="242">
        <v>2</v>
      </c>
      <c r="E162" s="242">
        <v>2.08</v>
      </c>
      <c r="F162" s="242"/>
      <c r="G162" s="324">
        <f t="shared" si="23"/>
        <v>0.66666666666666663</v>
      </c>
      <c r="H162" s="256">
        <f t="shared" si="24"/>
        <v>2.7733333333333334</v>
      </c>
      <c r="I162" s="242">
        <f t="shared" si="25"/>
        <v>2.7733333333333334</v>
      </c>
      <c r="J162" s="243"/>
      <c r="K162" s="241"/>
      <c r="L162" s="241"/>
      <c r="M162" s="244"/>
      <c r="N162" s="195"/>
    </row>
    <row r="163" spans="1:14" x14ac:dyDescent="0.25">
      <c r="A163" s="240"/>
      <c r="B163" s="245" t="s">
        <v>335</v>
      </c>
      <c r="C163" s="241" t="s">
        <v>336</v>
      </c>
      <c r="D163" s="242">
        <v>1</v>
      </c>
      <c r="E163" s="242">
        <v>20.67</v>
      </c>
      <c r="F163" s="242"/>
      <c r="G163" s="324">
        <f t="shared" si="23"/>
        <v>0.66666666666666663</v>
      </c>
      <c r="H163" s="256">
        <f t="shared" si="24"/>
        <v>13.780000000000001</v>
      </c>
      <c r="I163" s="242">
        <f t="shared" si="25"/>
        <v>13.780000000000001</v>
      </c>
      <c r="J163" s="243"/>
      <c r="K163" s="241"/>
      <c r="L163" s="241"/>
      <c r="M163" s="244"/>
      <c r="N163" s="195"/>
    </row>
    <row r="164" spans="1:14" x14ac:dyDescent="0.25">
      <c r="A164" s="240"/>
      <c r="B164" s="245" t="s">
        <v>335</v>
      </c>
      <c r="C164" s="241" t="s">
        <v>336</v>
      </c>
      <c r="D164" s="242">
        <v>1</v>
      </c>
      <c r="E164" s="242">
        <v>8.44</v>
      </c>
      <c r="F164" s="242"/>
      <c r="G164" s="324">
        <f t="shared" si="23"/>
        <v>0.66666666666666663</v>
      </c>
      <c r="H164" s="256">
        <f t="shared" si="24"/>
        <v>5.626666666666666</v>
      </c>
      <c r="I164" s="242">
        <f t="shared" si="25"/>
        <v>5.626666666666666</v>
      </c>
      <c r="J164" s="243"/>
      <c r="K164" s="241"/>
      <c r="L164" s="241"/>
      <c r="M164" s="244"/>
      <c r="N164" s="195"/>
    </row>
    <row r="165" spans="1:14" x14ac:dyDescent="0.25">
      <c r="A165" s="240"/>
      <c r="B165" s="245" t="s">
        <v>335</v>
      </c>
      <c r="C165" s="241" t="s">
        <v>336</v>
      </c>
      <c r="D165" s="242">
        <v>1</v>
      </c>
      <c r="E165" s="242">
        <v>20.83</v>
      </c>
      <c r="F165" s="242"/>
      <c r="G165" s="324">
        <f t="shared" si="23"/>
        <v>0.66666666666666663</v>
      </c>
      <c r="H165" s="256">
        <f t="shared" si="24"/>
        <v>13.886666666666665</v>
      </c>
      <c r="I165" s="242">
        <f t="shared" si="25"/>
        <v>13.886666666666665</v>
      </c>
      <c r="J165" s="243"/>
      <c r="K165" s="241"/>
      <c r="L165" s="241"/>
      <c r="M165" s="244"/>
      <c r="N165" s="195"/>
    </row>
    <row r="166" spans="1:14" x14ac:dyDescent="0.25">
      <c r="A166" s="240"/>
      <c r="B166" s="245" t="s">
        <v>338</v>
      </c>
      <c r="C166" s="241" t="s">
        <v>339</v>
      </c>
      <c r="D166" s="242">
        <v>2</v>
      </c>
      <c r="E166" s="242">
        <v>29.27</v>
      </c>
      <c r="F166" s="242"/>
      <c r="G166" s="324">
        <f t="shared" si="23"/>
        <v>0.66666666666666663</v>
      </c>
      <c r="H166" s="256">
        <f t="shared" si="24"/>
        <v>39.026666666666664</v>
      </c>
      <c r="I166" s="242">
        <f t="shared" si="25"/>
        <v>39.026666666666664</v>
      </c>
      <c r="J166" s="243"/>
      <c r="K166" s="241"/>
      <c r="L166" s="241"/>
      <c r="M166" s="244"/>
      <c r="N166" s="195"/>
    </row>
    <row r="167" spans="1:14" x14ac:dyDescent="0.25">
      <c r="A167" s="240"/>
      <c r="B167" s="245"/>
      <c r="C167" s="241"/>
      <c r="D167" s="242"/>
      <c r="E167" s="242"/>
      <c r="F167" s="242"/>
      <c r="G167" s="319"/>
      <c r="H167" s="256"/>
      <c r="I167" s="242"/>
      <c r="J167" s="243"/>
      <c r="K167" s="241"/>
      <c r="L167" s="241"/>
      <c r="M167" s="244"/>
      <c r="N167" s="195"/>
    </row>
    <row r="168" spans="1:14" x14ac:dyDescent="0.25">
      <c r="A168" s="240"/>
      <c r="B168" s="245" t="s">
        <v>359</v>
      </c>
      <c r="C168" s="241"/>
      <c r="D168" s="242"/>
      <c r="E168" s="242"/>
      <c r="F168" s="242"/>
      <c r="G168" s="319"/>
      <c r="H168" s="256"/>
      <c r="I168" s="242"/>
      <c r="J168" s="243"/>
      <c r="K168" s="241"/>
      <c r="L168" s="241"/>
      <c r="M168" s="244"/>
      <c r="N168" s="195"/>
    </row>
    <row r="169" spans="1:14" x14ac:dyDescent="0.25">
      <c r="A169" s="240"/>
      <c r="B169" s="245" t="s">
        <v>360</v>
      </c>
      <c r="C169" s="241" t="s">
        <v>361</v>
      </c>
      <c r="D169" s="242">
        <v>1</v>
      </c>
      <c r="E169" s="242">
        <v>5.67</v>
      </c>
      <c r="F169" s="242">
        <v>1.33</v>
      </c>
      <c r="G169" s="319"/>
      <c r="H169" s="256">
        <f t="shared" ref="H169:H174" si="26">PRODUCT(D169:G169)</f>
        <v>7.5411000000000001</v>
      </c>
      <c r="I169" s="256">
        <f t="shared" ref="I169:I174" si="27">H169</f>
        <v>7.5411000000000001</v>
      </c>
      <c r="J169" s="243"/>
      <c r="K169" s="241"/>
      <c r="L169" s="241"/>
      <c r="M169" s="244"/>
      <c r="N169" s="195"/>
    </row>
    <row r="170" spans="1:14" x14ac:dyDescent="0.25">
      <c r="A170" s="240"/>
      <c r="B170" s="245"/>
      <c r="C170" s="241" t="s">
        <v>361</v>
      </c>
      <c r="D170" s="242">
        <v>1</v>
      </c>
      <c r="E170" s="242">
        <v>68.31</v>
      </c>
      <c r="F170" s="242">
        <v>1.33</v>
      </c>
      <c r="G170" s="319"/>
      <c r="H170" s="256">
        <f t="shared" si="26"/>
        <v>90.852300000000014</v>
      </c>
      <c r="I170" s="256">
        <f t="shared" si="27"/>
        <v>90.852300000000014</v>
      </c>
      <c r="J170" s="243"/>
      <c r="K170" s="241"/>
      <c r="L170" s="241"/>
      <c r="M170" s="244"/>
      <c r="N170" s="195"/>
    </row>
    <row r="171" spans="1:14" x14ac:dyDescent="0.25">
      <c r="A171" s="240"/>
      <c r="B171" s="245"/>
      <c r="C171" s="241" t="s">
        <v>362</v>
      </c>
      <c r="D171" s="242">
        <v>1</v>
      </c>
      <c r="E171" s="242">
        <v>44</v>
      </c>
      <c r="F171" s="242">
        <v>1.33</v>
      </c>
      <c r="G171" s="319"/>
      <c r="H171" s="256">
        <f t="shared" si="26"/>
        <v>58.52</v>
      </c>
      <c r="I171" s="256">
        <f t="shared" si="27"/>
        <v>58.52</v>
      </c>
      <c r="J171" s="243"/>
      <c r="K171" s="241"/>
      <c r="L171" s="241"/>
      <c r="M171" s="244"/>
      <c r="N171" s="195"/>
    </row>
    <row r="172" spans="1:14" x14ac:dyDescent="0.25">
      <c r="A172" s="240"/>
      <c r="B172" s="245"/>
      <c r="C172" s="241" t="s">
        <v>363</v>
      </c>
      <c r="D172" s="242">
        <v>1</v>
      </c>
      <c r="E172" s="242">
        <v>77</v>
      </c>
      <c r="F172" s="242">
        <v>1.33</v>
      </c>
      <c r="G172" s="319"/>
      <c r="H172" s="256">
        <f t="shared" si="26"/>
        <v>102.41000000000001</v>
      </c>
      <c r="I172" s="256">
        <f t="shared" si="27"/>
        <v>102.41000000000001</v>
      </c>
      <c r="J172" s="243"/>
      <c r="K172" s="241"/>
      <c r="L172" s="241"/>
      <c r="M172" s="244"/>
      <c r="N172" s="195"/>
    </row>
    <row r="173" spans="1:14" x14ac:dyDescent="0.25">
      <c r="A173" s="240"/>
      <c r="B173" s="245"/>
      <c r="C173" s="241" t="s">
        <v>364</v>
      </c>
      <c r="D173" s="242">
        <v>1</v>
      </c>
      <c r="E173" s="242">
        <v>5.58</v>
      </c>
      <c r="F173" s="242">
        <v>1.33</v>
      </c>
      <c r="G173" s="319"/>
      <c r="H173" s="256">
        <f t="shared" si="26"/>
        <v>7.4214000000000002</v>
      </c>
      <c r="I173" s="256">
        <f t="shared" si="27"/>
        <v>7.4214000000000002</v>
      </c>
      <c r="J173" s="243"/>
      <c r="K173" s="241"/>
      <c r="L173" s="241"/>
      <c r="M173" s="244"/>
      <c r="N173" s="195"/>
    </row>
    <row r="174" spans="1:14" x14ac:dyDescent="0.25">
      <c r="A174" s="240"/>
      <c r="B174" s="245"/>
      <c r="C174" s="241" t="s">
        <v>366</v>
      </c>
      <c r="D174" s="242">
        <v>1</v>
      </c>
      <c r="E174" s="242">
        <v>46</v>
      </c>
      <c r="F174" s="242">
        <v>1.33</v>
      </c>
      <c r="G174" s="319"/>
      <c r="H174" s="256">
        <f t="shared" si="26"/>
        <v>61.180000000000007</v>
      </c>
      <c r="I174" s="256">
        <f t="shared" si="27"/>
        <v>61.180000000000007</v>
      </c>
      <c r="J174" s="243"/>
      <c r="K174" s="241"/>
      <c r="L174" s="241"/>
      <c r="M174" s="244"/>
      <c r="N174" s="195"/>
    </row>
    <row r="175" spans="1:14" x14ac:dyDescent="0.25">
      <c r="A175" s="240"/>
      <c r="B175" s="245"/>
      <c r="C175" s="241"/>
      <c r="D175" s="242"/>
      <c r="E175" s="242"/>
      <c r="F175" s="242"/>
      <c r="G175" s="319"/>
      <c r="H175" s="256"/>
      <c r="I175" s="256"/>
      <c r="J175" s="243"/>
      <c r="K175" s="241"/>
      <c r="L175" s="241"/>
      <c r="M175" s="244"/>
      <c r="N175" s="195"/>
    </row>
    <row r="176" spans="1:14" x14ac:dyDescent="0.25">
      <c r="A176" s="240"/>
      <c r="B176" s="245" t="s">
        <v>507</v>
      </c>
      <c r="C176" s="241"/>
      <c r="D176" s="242">
        <v>2</v>
      </c>
      <c r="E176" s="242"/>
      <c r="F176" s="242">
        <v>6</v>
      </c>
      <c r="G176" s="319">
        <v>2.2000000000000002</v>
      </c>
      <c r="H176" s="256">
        <f>PRODUCT(D176:G176)</f>
        <v>26.400000000000002</v>
      </c>
      <c r="I176" s="256">
        <f>H176</f>
        <v>26.400000000000002</v>
      </c>
      <c r="J176" s="243"/>
      <c r="K176" s="241"/>
      <c r="L176" s="241"/>
      <c r="M176" s="244"/>
      <c r="N176" s="195"/>
    </row>
    <row r="177" spans="1:14" x14ac:dyDescent="0.25">
      <c r="A177" s="240"/>
      <c r="B177" s="245" t="s">
        <v>507</v>
      </c>
      <c r="C177" s="241"/>
      <c r="D177" s="242">
        <v>4</v>
      </c>
      <c r="E177" s="242"/>
      <c r="F177" s="242">
        <v>2.2000000000000002</v>
      </c>
      <c r="G177" s="319">
        <v>0.5</v>
      </c>
      <c r="H177" s="256">
        <f>PRODUCT(D177:G177)</f>
        <v>4.4000000000000004</v>
      </c>
      <c r="I177" s="256">
        <f>H177</f>
        <v>4.4000000000000004</v>
      </c>
      <c r="J177" s="243"/>
      <c r="K177" s="241"/>
      <c r="L177" s="241"/>
      <c r="M177" s="244"/>
      <c r="N177" s="195"/>
    </row>
    <row r="178" spans="1:14" x14ac:dyDescent="0.25">
      <c r="A178" s="240"/>
      <c r="B178" s="245"/>
      <c r="C178" s="241"/>
      <c r="D178" s="242"/>
      <c r="E178" s="242"/>
      <c r="F178" s="242"/>
      <c r="G178" s="319"/>
      <c r="H178" s="256"/>
      <c r="I178" s="256"/>
      <c r="J178" s="243"/>
      <c r="K178" s="241"/>
      <c r="L178" s="241"/>
      <c r="M178" s="244"/>
      <c r="N178" s="195"/>
    </row>
    <row r="179" spans="1:14" x14ac:dyDescent="0.25">
      <c r="A179" s="240"/>
      <c r="B179" s="245"/>
      <c r="C179" s="241"/>
      <c r="D179" s="242"/>
      <c r="E179" s="242"/>
      <c r="F179" s="242"/>
      <c r="G179" s="319"/>
      <c r="H179" s="256"/>
      <c r="I179" s="256"/>
      <c r="J179" s="243"/>
      <c r="K179" s="241"/>
      <c r="L179" s="241"/>
      <c r="M179" s="244"/>
      <c r="N179" s="195"/>
    </row>
    <row r="180" spans="1:14" s="272" customFormat="1" ht="12.75" x14ac:dyDescent="0.25">
      <c r="A180" s="314"/>
      <c r="B180" s="315" t="s">
        <v>404</v>
      </c>
      <c r="C180" s="276"/>
      <c r="D180" s="314"/>
      <c r="E180" s="316"/>
      <c r="F180" s="316"/>
      <c r="G180" s="321"/>
      <c r="H180" s="316"/>
      <c r="I180" s="316">
        <f>+SUM(I181:I187)</f>
        <v>3662.0099999999998</v>
      </c>
      <c r="J180" s="314" t="s">
        <v>375</v>
      </c>
      <c r="K180" s="276"/>
      <c r="L180" s="276"/>
      <c r="M180" s="195"/>
    </row>
    <row r="181" spans="1:14" x14ac:dyDescent="0.25">
      <c r="A181" s="240"/>
      <c r="B181" s="245"/>
      <c r="C181" s="241" t="s">
        <v>371</v>
      </c>
      <c r="D181" s="242">
        <v>4</v>
      </c>
      <c r="E181" s="242">
        <v>11</v>
      </c>
      <c r="F181" s="242"/>
      <c r="G181" s="319">
        <v>17.27</v>
      </c>
      <c r="H181" s="256">
        <f>D181*E181*G181</f>
        <v>759.88</v>
      </c>
      <c r="I181" s="256">
        <f>H181</f>
        <v>759.88</v>
      </c>
      <c r="J181" s="241" t="s">
        <v>374</v>
      </c>
      <c r="K181" s="241"/>
      <c r="L181" s="241"/>
      <c r="M181" s="244" t="s">
        <v>376</v>
      </c>
      <c r="N181" s="195"/>
    </row>
    <row r="182" spans="1:14" x14ac:dyDescent="0.25">
      <c r="A182" s="240"/>
      <c r="B182" s="245"/>
      <c r="C182" s="241" t="s">
        <v>372</v>
      </c>
      <c r="D182" s="242">
        <v>5</v>
      </c>
      <c r="E182" s="242">
        <v>11</v>
      </c>
      <c r="F182" s="242"/>
      <c r="G182" s="319">
        <v>37.69</v>
      </c>
      <c r="H182" s="256">
        <f>D182*E182*G182</f>
        <v>2072.9499999999998</v>
      </c>
      <c r="I182" s="256">
        <f>H182</f>
        <v>2072.9499999999998</v>
      </c>
      <c r="J182" s="243"/>
      <c r="K182" s="241"/>
      <c r="L182" s="241"/>
      <c r="M182" s="244"/>
      <c r="N182" s="195"/>
    </row>
    <row r="183" spans="1:14" x14ac:dyDescent="0.25">
      <c r="A183" s="240"/>
      <c r="B183" s="245"/>
      <c r="C183" s="241" t="s">
        <v>373</v>
      </c>
      <c r="D183" s="242">
        <v>2</v>
      </c>
      <c r="E183" s="242">
        <v>11</v>
      </c>
      <c r="F183" s="242"/>
      <c r="G183" s="319">
        <v>37.69</v>
      </c>
      <c r="H183" s="256">
        <f>D183*E183*G183</f>
        <v>829.18</v>
      </c>
      <c r="I183" s="256">
        <f>H183</f>
        <v>829.18</v>
      </c>
      <c r="J183" s="243"/>
      <c r="K183" s="241"/>
      <c r="L183" s="241"/>
      <c r="M183" s="244"/>
      <c r="N183" s="195"/>
    </row>
    <row r="184" spans="1:14" x14ac:dyDescent="0.25">
      <c r="A184" s="240"/>
      <c r="B184" s="245"/>
      <c r="C184" s="241"/>
      <c r="D184" s="242"/>
      <c r="E184" s="242"/>
      <c r="F184" s="242"/>
      <c r="G184" s="319"/>
      <c r="H184" s="256"/>
      <c r="I184" s="256"/>
      <c r="J184" s="243"/>
      <c r="K184" s="241"/>
      <c r="L184" s="241">
        <f>3/8</f>
        <v>0.375</v>
      </c>
      <c r="M184" s="244"/>
      <c r="N184" s="195"/>
    </row>
    <row r="185" spans="1:14" x14ac:dyDescent="0.25">
      <c r="A185" s="240"/>
      <c r="B185" s="245"/>
      <c r="C185" s="241" t="s">
        <v>377</v>
      </c>
      <c r="D185" s="242">
        <v>4</v>
      </c>
      <c r="E185" s="242">
        <v>1</v>
      </c>
      <c r="F185" s="242"/>
      <c r="G185" s="319"/>
      <c r="H185" s="256"/>
      <c r="I185" s="256"/>
      <c r="J185" s="243" t="s">
        <v>405</v>
      </c>
      <c r="K185" s="241"/>
      <c r="L185" s="241"/>
      <c r="M185" s="244"/>
      <c r="N185" s="195"/>
    </row>
    <row r="186" spans="1:14" x14ac:dyDescent="0.25">
      <c r="A186" s="240"/>
      <c r="B186" s="245"/>
      <c r="C186" s="241" t="s">
        <v>378</v>
      </c>
      <c r="D186" s="242">
        <v>5</v>
      </c>
      <c r="E186" s="242">
        <v>1</v>
      </c>
      <c r="F186" s="242"/>
      <c r="G186" s="319"/>
      <c r="H186" s="256"/>
      <c r="I186" s="256"/>
      <c r="J186" s="243"/>
      <c r="K186" s="241"/>
      <c r="L186" s="241"/>
      <c r="M186" s="244"/>
      <c r="N186" s="195"/>
    </row>
    <row r="187" spans="1:14" x14ac:dyDescent="0.25">
      <c r="A187" s="240"/>
      <c r="B187" s="245"/>
      <c r="C187" s="241" t="s">
        <v>378</v>
      </c>
      <c r="D187" s="242">
        <v>2</v>
      </c>
      <c r="E187" s="242">
        <v>1</v>
      </c>
      <c r="F187" s="242"/>
      <c r="G187" s="319"/>
      <c r="H187" s="256"/>
      <c r="I187" s="256"/>
      <c r="J187" s="243"/>
      <c r="K187" s="241"/>
      <c r="L187" s="241"/>
      <c r="M187" s="244"/>
      <c r="N187" s="195"/>
    </row>
    <row r="188" spans="1:14" x14ac:dyDescent="0.25">
      <c r="A188" s="240"/>
      <c r="B188" s="245"/>
      <c r="C188" s="241"/>
      <c r="D188" s="242"/>
      <c r="E188" s="242"/>
      <c r="F188" s="242"/>
      <c r="G188" s="319"/>
      <c r="H188" s="256"/>
      <c r="I188" s="256"/>
      <c r="J188" s="243"/>
      <c r="K188" s="241"/>
      <c r="L188" s="241"/>
      <c r="M188" s="244"/>
      <c r="N188" s="195"/>
    </row>
    <row r="189" spans="1:14" x14ac:dyDescent="0.25">
      <c r="B189" s="276" t="s">
        <v>407</v>
      </c>
      <c r="C189" s="241"/>
      <c r="D189" s="242"/>
      <c r="E189" s="257"/>
      <c r="F189" s="258"/>
      <c r="G189" s="319"/>
      <c r="H189" s="242"/>
      <c r="I189" s="242"/>
    </row>
    <row r="190" spans="1:14" x14ac:dyDescent="0.25">
      <c r="A190" s="240"/>
      <c r="B190" s="245" t="s">
        <v>370</v>
      </c>
      <c r="C190" s="241"/>
      <c r="D190" s="242"/>
      <c r="E190" s="242"/>
      <c r="F190" s="242"/>
      <c r="G190" s="319"/>
      <c r="H190" s="256"/>
      <c r="I190" s="256"/>
      <c r="J190" s="243"/>
      <c r="K190" s="241"/>
      <c r="L190" s="241"/>
      <c r="M190" s="244"/>
      <c r="N190" s="195"/>
    </row>
    <row r="191" spans="1:14" x14ac:dyDescent="0.25">
      <c r="A191" s="240"/>
      <c r="B191" s="245"/>
      <c r="C191" s="241" t="s">
        <v>369</v>
      </c>
      <c r="D191" s="242">
        <v>1</v>
      </c>
      <c r="E191" s="242">
        <v>5458.2</v>
      </c>
      <c r="F191" s="242"/>
      <c r="G191" s="319">
        <f>8/12</f>
        <v>0.66666666666666663</v>
      </c>
      <c r="H191" s="256">
        <f>+PRODUCT(D191:G191)</f>
        <v>3638.7999999999997</v>
      </c>
      <c r="I191" s="260">
        <f>H191/27</f>
        <v>134.77037037037036</v>
      </c>
      <c r="J191" s="240" t="s">
        <v>222</v>
      </c>
      <c r="K191" s="241" t="s">
        <v>406</v>
      </c>
      <c r="L191" s="241"/>
      <c r="M191" s="244"/>
      <c r="N191" s="195"/>
    </row>
    <row r="192" spans="1:14" x14ac:dyDescent="0.25">
      <c r="A192" s="240"/>
      <c r="B192" s="245"/>
      <c r="C192" s="241"/>
      <c r="D192" s="242"/>
      <c r="E192" s="242"/>
      <c r="F192" s="242"/>
      <c r="G192" s="319"/>
      <c r="H192" s="256"/>
      <c r="I192" s="256"/>
      <c r="J192" s="243"/>
      <c r="K192" s="241"/>
      <c r="L192" s="241"/>
      <c r="M192" s="244"/>
      <c r="N192" s="195"/>
    </row>
    <row r="193" spans="1:14" s="271" customFormat="1" ht="12.75" customHeight="1" outlineLevel="1" x14ac:dyDescent="0.25">
      <c r="A193" s="266"/>
      <c r="B193" s="51" t="s">
        <v>408</v>
      </c>
      <c r="C193" s="269"/>
      <c r="D193" s="255"/>
      <c r="E193" s="268"/>
      <c r="F193" s="268"/>
      <c r="G193" s="325"/>
      <c r="H193" s="256"/>
      <c r="I193" s="260">
        <f>+SUM(I194:I210)</f>
        <v>33.8109670781893</v>
      </c>
      <c r="J193" s="94" t="s">
        <v>222</v>
      </c>
      <c r="K193" s="269"/>
      <c r="L193" s="269"/>
      <c r="M193" s="273"/>
      <c r="N193" s="270"/>
    </row>
    <row r="194" spans="1:14" s="271" customFormat="1" ht="12.75" customHeight="1" outlineLevel="1" x14ac:dyDescent="0.25">
      <c r="A194" s="266"/>
      <c r="B194" s="245" t="s">
        <v>410</v>
      </c>
      <c r="C194" s="269" t="s">
        <v>411</v>
      </c>
      <c r="D194" s="255">
        <v>1</v>
      </c>
      <c r="E194" s="268">
        <v>80.33</v>
      </c>
      <c r="F194" s="278">
        <v>1.6666666666666667</v>
      </c>
      <c r="G194" s="326">
        <v>1.6666666666666667</v>
      </c>
      <c r="H194" s="255">
        <f t="shared" ref="H194:H210" si="28">PRODUCT(D194:G194)</f>
        <v>223.13888888888889</v>
      </c>
      <c r="I194" s="255">
        <f t="shared" ref="I194:I210" si="29">PRODUCT(H194:H194)/27</f>
        <v>8.2644032921810702</v>
      </c>
      <c r="J194" s="267" t="s">
        <v>382</v>
      </c>
      <c r="K194" s="269"/>
      <c r="L194" s="269"/>
      <c r="M194" s="273"/>
      <c r="N194" s="270"/>
    </row>
    <row r="195" spans="1:14" s="271" customFormat="1" ht="12.75" customHeight="1" outlineLevel="1" x14ac:dyDescent="0.25">
      <c r="A195" s="266"/>
      <c r="B195" s="245" t="s">
        <v>412</v>
      </c>
      <c r="C195" s="269" t="s">
        <v>414</v>
      </c>
      <c r="D195" s="255">
        <v>1</v>
      </c>
      <c r="E195" s="268">
        <v>15.33</v>
      </c>
      <c r="F195" s="278">
        <v>1</v>
      </c>
      <c r="G195" s="326">
        <v>2</v>
      </c>
      <c r="H195" s="255">
        <f t="shared" si="28"/>
        <v>30.66</v>
      </c>
      <c r="I195" s="255">
        <f t="shared" si="29"/>
        <v>1.1355555555555557</v>
      </c>
      <c r="J195" s="267" t="s">
        <v>382</v>
      </c>
      <c r="K195" s="269"/>
      <c r="L195" s="269"/>
      <c r="M195" s="273"/>
      <c r="N195" s="270"/>
    </row>
    <row r="196" spans="1:14" s="271" customFormat="1" ht="12.75" customHeight="1" outlineLevel="1" x14ac:dyDescent="0.25">
      <c r="A196" s="266"/>
      <c r="B196" s="245" t="s">
        <v>413</v>
      </c>
      <c r="C196" s="269" t="s">
        <v>415</v>
      </c>
      <c r="D196" s="255">
        <v>1</v>
      </c>
      <c r="E196" s="268">
        <v>15.33</v>
      </c>
      <c r="F196" s="278">
        <v>0.5</v>
      </c>
      <c r="G196" s="326">
        <v>1.6666666666666667</v>
      </c>
      <c r="H196" s="255">
        <f t="shared" si="28"/>
        <v>12.775</v>
      </c>
      <c r="I196" s="255">
        <f t="shared" si="29"/>
        <v>0.47314814814814815</v>
      </c>
      <c r="J196" s="267" t="s">
        <v>382</v>
      </c>
      <c r="K196" s="269"/>
      <c r="L196" s="269"/>
      <c r="M196" s="273"/>
      <c r="N196" s="270"/>
    </row>
    <row r="197" spans="1:14" s="271" customFormat="1" ht="12.75" customHeight="1" outlineLevel="1" x14ac:dyDescent="0.25">
      <c r="A197" s="266"/>
      <c r="B197" s="245" t="s">
        <v>416</v>
      </c>
      <c r="C197" s="269" t="s">
        <v>417</v>
      </c>
      <c r="D197" s="255">
        <v>1</v>
      </c>
      <c r="E197" s="268">
        <v>9.33</v>
      </c>
      <c r="F197" s="268">
        <f>1+4/12</f>
        <v>1.3333333333333333</v>
      </c>
      <c r="G197" s="326">
        <v>1.1666666666666667</v>
      </c>
      <c r="H197" s="255">
        <f t="shared" si="28"/>
        <v>14.513333333333334</v>
      </c>
      <c r="I197" s="255">
        <f t="shared" si="29"/>
        <v>0.53753086419753082</v>
      </c>
      <c r="J197" s="267" t="s">
        <v>382</v>
      </c>
      <c r="K197" s="269"/>
      <c r="L197" s="269"/>
      <c r="M197" s="273"/>
      <c r="N197" s="270"/>
    </row>
    <row r="198" spans="1:14" s="271" customFormat="1" ht="12.75" customHeight="1" outlineLevel="1" x14ac:dyDescent="0.25">
      <c r="A198" s="266"/>
      <c r="B198" s="245" t="s">
        <v>418</v>
      </c>
      <c r="C198" s="269" t="s">
        <v>419</v>
      </c>
      <c r="D198" s="255">
        <v>1</v>
      </c>
      <c r="E198" s="268">
        <v>30.67</v>
      </c>
      <c r="F198" s="278">
        <v>0.66666666666666663</v>
      </c>
      <c r="G198" s="326">
        <v>2.6666666666666665</v>
      </c>
      <c r="H198" s="255">
        <f t="shared" si="28"/>
        <v>54.524444444444441</v>
      </c>
      <c r="I198" s="255">
        <f t="shared" si="29"/>
        <v>2.019423868312757</v>
      </c>
      <c r="J198" s="267" t="s">
        <v>382</v>
      </c>
      <c r="K198" s="269"/>
      <c r="L198" s="269"/>
      <c r="M198" s="273"/>
      <c r="N198" s="270"/>
    </row>
    <row r="199" spans="1:14" s="271" customFormat="1" ht="12.75" customHeight="1" outlineLevel="1" x14ac:dyDescent="0.25">
      <c r="A199" s="266"/>
      <c r="B199" s="245" t="s">
        <v>412</v>
      </c>
      <c r="C199" s="269" t="s">
        <v>414</v>
      </c>
      <c r="D199" s="255">
        <v>1</v>
      </c>
      <c r="E199" s="268">
        <v>52</v>
      </c>
      <c r="F199" s="278">
        <v>1</v>
      </c>
      <c r="G199" s="326">
        <v>2</v>
      </c>
      <c r="H199" s="255">
        <f t="shared" si="28"/>
        <v>104</v>
      </c>
      <c r="I199" s="255">
        <f t="shared" si="29"/>
        <v>3.8518518518518516</v>
      </c>
      <c r="J199" s="267" t="s">
        <v>382</v>
      </c>
      <c r="K199" s="269"/>
      <c r="L199" s="269"/>
      <c r="M199" s="273"/>
      <c r="N199" s="270"/>
    </row>
    <row r="200" spans="1:14" s="271" customFormat="1" ht="12.75" customHeight="1" outlineLevel="1" x14ac:dyDescent="0.25">
      <c r="A200" s="266"/>
      <c r="B200" s="245" t="s">
        <v>413</v>
      </c>
      <c r="C200" s="269" t="s">
        <v>415</v>
      </c>
      <c r="D200" s="255">
        <v>1</v>
      </c>
      <c r="E200" s="268">
        <v>81</v>
      </c>
      <c r="F200" s="278">
        <v>0.5</v>
      </c>
      <c r="G200" s="326">
        <v>1.6666666666666667</v>
      </c>
      <c r="H200" s="255">
        <f t="shared" si="28"/>
        <v>67.5</v>
      </c>
      <c r="I200" s="255">
        <f t="shared" si="29"/>
        <v>2.5</v>
      </c>
      <c r="J200" s="267" t="s">
        <v>382</v>
      </c>
      <c r="K200" s="269"/>
      <c r="L200" s="269"/>
      <c r="M200" s="273"/>
      <c r="N200" s="270"/>
    </row>
    <row r="201" spans="1:14" s="271" customFormat="1" ht="12.75" customHeight="1" outlineLevel="1" x14ac:dyDescent="0.25">
      <c r="A201" s="266"/>
      <c r="B201" s="245" t="s">
        <v>416</v>
      </c>
      <c r="C201" s="269" t="s">
        <v>417</v>
      </c>
      <c r="D201" s="255">
        <v>1</v>
      </c>
      <c r="E201" s="268">
        <v>18</v>
      </c>
      <c r="F201" s="278">
        <v>0.66666666666666663</v>
      </c>
      <c r="G201" s="326">
        <v>1.1666666666666667</v>
      </c>
      <c r="H201" s="255">
        <f t="shared" si="28"/>
        <v>14</v>
      </c>
      <c r="I201" s="255">
        <f t="shared" si="29"/>
        <v>0.51851851851851849</v>
      </c>
      <c r="J201" s="267" t="s">
        <v>382</v>
      </c>
      <c r="K201" s="269"/>
      <c r="L201" s="269"/>
      <c r="M201" s="273"/>
      <c r="N201" s="270"/>
    </row>
    <row r="202" spans="1:14" s="271" customFormat="1" ht="12.75" customHeight="1" outlineLevel="1" x14ac:dyDescent="0.25">
      <c r="A202" s="266"/>
      <c r="B202" s="245" t="s">
        <v>416</v>
      </c>
      <c r="C202" s="269" t="s">
        <v>417</v>
      </c>
      <c r="D202" s="255">
        <v>1</v>
      </c>
      <c r="E202" s="268">
        <v>9.33</v>
      </c>
      <c r="F202" s="278">
        <v>0.66666666666666663</v>
      </c>
      <c r="G202" s="326">
        <v>1.1666666666666667</v>
      </c>
      <c r="H202" s="255">
        <f t="shared" si="28"/>
        <v>7.2566666666666668</v>
      </c>
      <c r="I202" s="255">
        <f t="shared" si="29"/>
        <v>0.26876543209876541</v>
      </c>
      <c r="J202" s="267" t="s">
        <v>382</v>
      </c>
      <c r="K202" s="269"/>
      <c r="L202" s="269"/>
      <c r="M202" s="273"/>
      <c r="N202" s="270"/>
    </row>
    <row r="203" spans="1:14" s="271" customFormat="1" ht="12.75" customHeight="1" outlineLevel="1" x14ac:dyDescent="0.25">
      <c r="A203" s="266"/>
      <c r="B203" s="245" t="s">
        <v>420</v>
      </c>
      <c r="C203" s="269" t="s">
        <v>421</v>
      </c>
      <c r="D203" s="255">
        <v>1</v>
      </c>
      <c r="E203" s="268">
        <v>23.08</v>
      </c>
      <c r="F203" s="278">
        <v>0.66666666666666663</v>
      </c>
      <c r="G203" s="326">
        <v>1.5</v>
      </c>
      <c r="H203" s="255">
        <f t="shared" si="28"/>
        <v>23.08</v>
      </c>
      <c r="I203" s="255">
        <f t="shared" si="29"/>
        <v>0.85481481481481481</v>
      </c>
      <c r="J203" s="267" t="s">
        <v>382</v>
      </c>
      <c r="K203" s="269"/>
      <c r="L203" s="269"/>
      <c r="M203" s="273"/>
      <c r="N203" s="270"/>
    </row>
    <row r="204" spans="1:14" s="271" customFormat="1" ht="12.75" customHeight="1" outlineLevel="1" x14ac:dyDescent="0.25">
      <c r="A204" s="266"/>
      <c r="B204" s="245" t="s">
        <v>422</v>
      </c>
      <c r="C204" s="269" t="s">
        <v>424</v>
      </c>
      <c r="D204" s="255">
        <v>1</v>
      </c>
      <c r="E204" s="268">
        <v>20.67</v>
      </c>
      <c r="F204" s="278">
        <v>2</v>
      </c>
      <c r="G204" s="326">
        <v>1.5833333333333333</v>
      </c>
      <c r="H204" s="255">
        <f t="shared" si="28"/>
        <v>65.454999999999998</v>
      </c>
      <c r="I204" s="255">
        <f t="shared" si="29"/>
        <v>2.4242592592592591</v>
      </c>
      <c r="J204" s="267" t="s">
        <v>382</v>
      </c>
      <c r="K204" s="269"/>
      <c r="L204" s="269"/>
      <c r="M204" s="273"/>
      <c r="N204" s="270"/>
    </row>
    <row r="205" spans="1:14" s="271" customFormat="1" ht="12.75" customHeight="1" outlineLevel="1" x14ac:dyDescent="0.25">
      <c r="A205" s="266"/>
      <c r="B205" s="245" t="s">
        <v>422</v>
      </c>
      <c r="C205" s="269" t="s">
        <v>424</v>
      </c>
      <c r="D205" s="255">
        <v>1</v>
      </c>
      <c r="E205" s="268">
        <v>20.67</v>
      </c>
      <c r="F205" s="278">
        <v>2</v>
      </c>
      <c r="G205" s="326">
        <v>1.5833333333333333</v>
      </c>
      <c r="H205" s="255">
        <f t="shared" si="28"/>
        <v>65.454999999999998</v>
      </c>
      <c r="I205" s="255">
        <f t="shared" si="29"/>
        <v>2.4242592592592591</v>
      </c>
      <c r="J205" s="267" t="s">
        <v>382</v>
      </c>
      <c r="K205" s="269"/>
      <c r="L205" s="269"/>
      <c r="M205" s="273"/>
      <c r="N205" s="270"/>
    </row>
    <row r="206" spans="1:14" s="271" customFormat="1" ht="12.75" customHeight="1" outlineLevel="1" x14ac:dyDescent="0.25">
      <c r="A206" s="266"/>
      <c r="B206" s="245" t="s">
        <v>423</v>
      </c>
      <c r="C206" s="269" t="s">
        <v>419</v>
      </c>
      <c r="D206" s="255">
        <v>1</v>
      </c>
      <c r="E206" s="268">
        <v>20.65</v>
      </c>
      <c r="F206" s="278">
        <v>0.66666666666666663</v>
      </c>
      <c r="G206" s="326">
        <v>2.6666666666666665</v>
      </c>
      <c r="H206" s="255">
        <f t="shared" si="28"/>
        <v>36.711111111111109</v>
      </c>
      <c r="I206" s="255">
        <f t="shared" si="29"/>
        <v>1.3596707818930041</v>
      </c>
      <c r="J206" s="267" t="s">
        <v>382</v>
      </c>
      <c r="K206" s="269"/>
      <c r="L206" s="269"/>
      <c r="M206" s="273"/>
      <c r="N206" s="270"/>
    </row>
    <row r="207" spans="1:14" s="271" customFormat="1" ht="12.75" customHeight="1" outlineLevel="1" x14ac:dyDescent="0.25">
      <c r="A207" s="266"/>
      <c r="B207" s="245" t="s">
        <v>422</v>
      </c>
      <c r="C207" s="269" t="s">
        <v>424</v>
      </c>
      <c r="D207" s="255">
        <v>1</v>
      </c>
      <c r="E207" s="268">
        <v>20.67</v>
      </c>
      <c r="F207" s="278">
        <v>2</v>
      </c>
      <c r="G207" s="326">
        <v>1.5833333333333333</v>
      </c>
      <c r="H207" s="255">
        <f t="shared" si="28"/>
        <v>65.454999999999998</v>
      </c>
      <c r="I207" s="255">
        <f t="shared" si="29"/>
        <v>2.4242592592592591</v>
      </c>
      <c r="J207" s="267" t="s">
        <v>382</v>
      </c>
      <c r="K207" s="269"/>
      <c r="L207" s="269"/>
      <c r="M207" s="273"/>
      <c r="N207" s="270"/>
    </row>
    <row r="208" spans="1:14" s="271" customFormat="1" ht="12.75" customHeight="1" outlineLevel="1" x14ac:dyDescent="0.25">
      <c r="A208" s="266"/>
      <c r="B208" s="245" t="s">
        <v>418</v>
      </c>
      <c r="C208" s="269" t="s">
        <v>419</v>
      </c>
      <c r="D208" s="255">
        <v>1</v>
      </c>
      <c r="E208" s="268">
        <v>20.67</v>
      </c>
      <c r="F208" s="278">
        <v>0.66666666666666663</v>
      </c>
      <c r="G208" s="326">
        <v>2.6666666666666665</v>
      </c>
      <c r="H208" s="255">
        <f t="shared" si="28"/>
        <v>36.74666666666667</v>
      </c>
      <c r="I208" s="255">
        <f t="shared" si="29"/>
        <v>1.3609876543209878</v>
      </c>
      <c r="J208" s="267" t="s">
        <v>382</v>
      </c>
      <c r="K208" s="269"/>
      <c r="L208" s="269"/>
      <c r="M208" s="273"/>
      <c r="N208" s="270"/>
    </row>
    <row r="209" spans="1:14" s="271" customFormat="1" ht="12.75" customHeight="1" outlineLevel="1" x14ac:dyDescent="0.25">
      <c r="A209" s="266"/>
      <c r="B209" s="245" t="s">
        <v>420</v>
      </c>
      <c r="C209" s="269" t="s">
        <v>421</v>
      </c>
      <c r="D209" s="255">
        <v>1</v>
      </c>
      <c r="E209" s="268">
        <v>26.17</v>
      </c>
      <c r="F209" s="278">
        <v>0.66666666666666663</v>
      </c>
      <c r="G209" s="326">
        <v>1.5</v>
      </c>
      <c r="H209" s="255">
        <f t="shared" si="28"/>
        <v>26.169999999999998</v>
      </c>
      <c r="I209" s="255">
        <f t="shared" si="29"/>
        <v>0.96925925925925915</v>
      </c>
      <c r="J209" s="267" t="s">
        <v>382</v>
      </c>
      <c r="K209" s="269"/>
      <c r="L209" s="269"/>
      <c r="M209" s="273"/>
      <c r="N209" s="270"/>
    </row>
    <row r="210" spans="1:14" s="271" customFormat="1" ht="12.75" customHeight="1" outlineLevel="1" x14ac:dyDescent="0.25">
      <c r="A210" s="266"/>
      <c r="B210" s="245" t="s">
        <v>425</v>
      </c>
      <c r="C210" s="269" t="s">
        <v>424</v>
      </c>
      <c r="D210" s="255">
        <v>1</v>
      </c>
      <c r="E210" s="268">
        <v>20.67</v>
      </c>
      <c r="F210" s="278">
        <v>2</v>
      </c>
      <c r="G210" s="326">
        <v>1.5833333333333333</v>
      </c>
      <c r="H210" s="255">
        <f t="shared" si="28"/>
        <v>65.454999999999998</v>
      </c>
      <c r="I210" s="255">
        <f t="shared" si="29"/>
        <v>2.4242592592592591</v>
      </c>
      <c r="J210" s="267" t="s">
        <v>382</v>
      </c>
      <c r="K210" s="269"/>
      <c r="L210" s="269"/>
      <c r="M210" s="273"/>
      <c r="N210" s="270"/>
    </row>
    <row r="211" spans="1:14" s="271" customFormat="1" ht="12.75" customHeight="1" outlineLevel="1" x14ac:dyDescent="0.25">
      <c r="A211" s="266"/>
      <c r="B211" s="245"/>
      <c r="C211" s="269"/>
      <c r="D211" s="255"/>
      <c r="E211" s="268"/>
      <c r="F211" s="268"/>
      <c r="G211" s="325"/>
      <c r="H211" s="255"/>
      <c r="I211" s="255"/>
      <c r="J211" s="267"/>
      <c r="K211" s="269"/>
      <c r="L211" s="269"/>
      <c r="M211" s="273"/>
      <c r="N211" s="270"/>
    </row>
    <row r="212" spans="1:14" s="271" customFormat="1" ht="12.75" customHeight="1" outlineLevel="1" x14ac:dyDescent="0.25">
      <c r="A212" s="266"/>
      <c r="B212" s="245" t="s">
        <v>409</v>
      </c>
      <c r="C212" s="269"/>
      <c r="D212" s="255">
        <v>1</v>
      </c>
      <c r="E212" s="268">
        <f>(59.67*2)+(100.5*2)</f>
        <v>320.34000000000003</v>
      </c>
      <c r="F212" s="268">
        <f>6/12</f>
        <v>0.5</v>
      </c>
      <c r="G212" s="325">
        <v>2</v>
      </c>
      <c r="H212" s="255">
        <f>PRODUCT(D212:G212)</f>
        <v>320.34000000000003</v>
      </c>
      <c r="I212" s="255">
        <f>PRODUCT(H212:H212)/27</f>
        <v>11.864444444444446</v>
      </c>
      <c r="J212" s="267" t="s">
        <v>382</v>
      </c>
      <c r="K212" s="269"/>
      <c r="L212" s="269"/>
      <c r="M212" s="273"/>
      <c r="N212" s="270"/>
    </row>
    <row r="213" spans="1:14" s="271" customFormat="1" ht="12.75" customHeight="1" outlineLevel="1" x14ac:dyDescent="0.25">
      <c r="A213" s="272"/>
      <c r="B213" s="245"/>
      <c r="C213" s="269"/>
      <c r="D213" s="255"/>
      <c r="E213" s="268"/>
      <c r="F213" s="268"/>
      <c r="G213" s="325"/>
      <c r="H213" s="255"/>
      <c r="I213" s="255"/>
      <c r="K213" s="273"/>
      <c r="L213" s="273"/>
      <c r="M213" s="273"/>
      <c r="N213" s="270"/>
    </row>
    <row r="214" spans="1:14" s="271" customFormat="1" ht="12.75" x14ac:dyDescent="0.25">
      <c r="A214" s="266"/>
      <c r="B214" s="285" t="s">
        <v>426</v>
      </c>
      <c r="C214" s="277"/>
      <c r="D214" s="283"/>
      <c r="E214" s="284"/>
      <c r="F214" s="284"/>
      <c r="G214" s="327"/>
      <c r="H214" s="284"/>
      <c r="I214" s="284">
        <f>SUM(I215:I255)</f>
        <v>79.835130320987645</v>
      </c>
      <c r="J214" s="267" t="s">
        <v>382</v>
      </c>
      <c r="K214" s="269"/>
      <c r="L214" s="269"/>
      <c r="M214" s="273"/>
      <c r="N214" s="274"/>
    </row>
    <row r="215" spans="1:14" s="271" customFormat="1" ht="12.75" x14ac:dyDescent="0.25">
      <c r="A215" s="266"/>
      <c r="B215" s="51" t="s">
        <v>427</v>
      </c>
      <c r="C215" s="269"/>
      <c r="D215" s="255"/>
      <c r="E215" s="268"/>
      <c r="F215" s="268"/>
      <c r="G215" s="325"/>
      <c r="H215" s="255"/>
      <c r="I215" s="255"/>
      <c r="J215" s="267"/>
      <c r="K215" s="269"/>
      <c r="L215" s="269"/>
      <c r="M215" s="273"/>
      <c r="N215" s="274"/>
    </row>
    <row r="216" spans="1:14" x14ac:dyDescent="0.25">
      <c r="A216" s="240"/>
      <c r="B216" s="51" t="s">
        <v>324</v>
      </c>
      <c r="C216" s="241"/>
      <c r="D216" s="242"/>
      <c r="E216" s="242"/>
      <c r="F216" s="242"/>
      <c r="G216" s="319"/>
      <c r="H216" s="242"/>
      <c r="I216" s="242"/>
      <c r="J216" s="243"/>
      <c r="K216" s="241"/>
      <c r="L216" s="241"/>
      <c r="M216" s="244"/>
      <c r="N216" s="195"/>
    </row>
    <row r="217" spans="1:14" x14ac:dyDescent="0.25">
      <c r="A217" s="240"/>
      <c r="B217" s="245" t="s">
        <v>325</v>
      </c>
      <c r="C217" s="241" t="s">
        <v>326</v>
      </c>
      <c r="D217" s="242">
        <v>1</v>
      </c>
      <c r="E217" s="242">
        <v>20.71</v>
      </c>
      <c r="F217" s="268">
        <f t="shared" ref="F217:F223" si="30">8/12</f>
        <v>0.66666666666666663</v>
      </c>
      <c r="G217" s="325">
        <v>11.67</v>
      </c>
      <c r="H217" s="242">
        <f t="shared" ref="H217:H223" si="31">+PRODUCT(D217:G217)</f>
        <v>161.12379999999999</v>
      </c>
      <c r="I217" s="242">
        <f t="shared" ref="I217:I223" si="32">H217/27</f>
        <v>5.9675481481481478</v>
      </c>
      <c r="J217" s="243"/>
      <c r="K217" s="241"/>
      <c r="L217" s="241"/>
      <c r="M217" s="244"/>
      <c r="N217" s="195"/>
    </row>
    <row r="218" spans="1:14" x14ac:dyDescent="0.25">
      <c r="A218" s="240"/>
      <c r="B218" s="245" t="s">
        <v>325</v>
      </c>
      <c r="C218" s="244" t="s">
        <v>347</v>
      </c>
      <c r="D218" s="242">
        <v>1</v>
      </c>
      <c r="E218" s="242">
        <v>6.17</v>
      </c>
      <c r="F218" s="268">
        <f t="shared" si="30"/>
        <v>0.66666666666666663</v>
      </c>
      <c r="G218" s="325">
        <v>11.67</v>
      </c>
      <c r="H218" s="242">
        <f t="shared" si="31"/>
        <v>48.002600000000001</v>
      </c>
      <c r="I218" s="242">
        <f t="shared" si="32"/>
        <v>1.7778740740740742</v>
      </c>
      <c r="J218" s="243"/>
      <c r="K218" s="241"/>
      <c r="L218" s="241"/>
      <c r="M218" s="244"/>
      <c r="N218" s="195"/>
    </row>
    <row r="219" spans="1:14" x14ac:dyDescent="0.25">
      <c r="A219" s="240"/>
      <c r="B219" s="245" t="s">
        <v>325</v>
      </c>
      <c r="C219" s="244" t="s">
        <v>348</v>
      </c>
      <c r="D219" s="242">
        <v>1</v>
      </c>
      <c r="E219" s="242">
        <f>16.67</f>
        <v>16.670000000000002</v>
      </c>
      <c r="F219" s="268">
        <f t="shared" si="30"/>
        <v>0.66666666666666663</v>
      </c>
      <c r="G219" s="325">
        <v>11.67</v>
      </c>
      <c r="H219" s="242">
        <f t="shared" si="31"/>
        <v>129.6926</v>
      </c>
      <c r="I219" s="242">
        <f t="shared" si="32"/>
        <v>4.8034296296296297</v>
      </c>
      <c r="J219" s="243"/>
      <c r="K219" s="241"/>
      <c r="L219" s="241"/>
      <c r="M219" s="244"/>
      <c r="N219" s="195"/>
    </row>
    <row r="220" spans="1:14" x14ac:dyDescent="0.25">
      <c r="A220" s="240"/>
      <c r="B220" s="245" t="s">
        <v>325</v>
      </c>
      <c r="C220" s="244" t="s">
        <v>349</v>
      </c>
      <c r="D220" s="242">
        <v>1</v>
      </c>
      <c r="E220" s="242">
        <v>4.17</v>
      </c>
      <c r="F220" s="268">
        <f t="shared" si="30"/>
        <v>0.66666666666666663</v>
      </c>
      <c r="G220" s="325">
        <v>11.67</v>
      </c>
      <c r="H220" s="242">
        <f t="shared" si="31"/>
        <v>32.442599999999999</v>
      </c>
      <c r="I220" s="242">
        <f t="shared" si="32"/>
        <v>1.2015777777777776</v>
      </c>
      <c r="J220" s="243"/>
      <c r="K220" s="241"/>
      <c r="L220" s="241"/>
      <c r="M220" s="244"/>
      <c r="N220" s="195"/>
    </row>
    <row r="221" spans="1:14" x14ac:dyDescent="0.25">
      <c r="A221" s="240"/>
      <c r="B221" s="245" t="s">
        <v>325</v>
      </c>
      <c r="C221" s="244" t="s">
        <v>350</v>
      </c>
      <c r="D221" s="242">
        <v>1</v>
      </c>
      <c r="E221" s="242">
        <v>3.55</v>
      </c>
      <c r="F221" s="268">
        <f t="shared" si="30"/>
        <v>0.66666666666666663</v>
      </c>
      <c r="G221" s="325">
        <v>11.67</v>
      </c>
      <c r="H221" s="242">
        <f t="shared" si="31"/>
        <v>27.618999999999996</v>
      </c>
      <c r="I221" s="242">
        <f t="shared" si="32"/>
        <v>1.0229259259259258</v>
      </c>
      <c r="J221" s="243"/>
      <c r="K221" s="241"/>
      <c r="L221" s="241"/>
      <c r="M221" s="242"/>
      <c r="N221" s="195"/>
    </row>
    <row r="222" spans="1:14" x14ac:dyDescent="0.25">
      <c r="A222" s="240"/>
      <c r="B222" s="245" t="s">
        <v>325</v>
      </c>
      <c r="C222" s="244" t="s">
        <v>351</v>
      </c>
      <c r="D222" s="242">
        <v>1</v>
      </c>
      <c r="E222" s="242">
        <v>8.9499999999999993</v>
      </c>
      <c r="F222" s="268">
        <f t="shared" si="30"/>
        <v>0.66666666666666663</v>
      </c>
      <c r="G222" s="325">
        <v>11.67</v>
      </c>
      <c r="H222" s="242">
        <f t="shared" si="31"/>
        <v>69.630999999999986</v>
      </c>
      <c r="I222" s="242">
        <f t="shared" si="32"/>
        <v>2.5789259259259256</v>
      </c>
      <c r="J222" s="243"/>
      <c r="K222" s="241"/>
      <c r="L222" s="241"/>
      <c r="M222" s="244"/>
      <c r="N222" s="195"/>
    </row>
    <row r="223" spans="1:14" x14ac:dyDescent="0.25">
      <c r="A223" s="240"/>
      <c r="B223" s="245" t="s">
        <v>325</v>
      </c>
      <c r="C223" s="241" t="s">
        <v>326</v>
      </c>
      <c r="D223" s="242">
        <v>1</v>
      </c>
      <c r="E223" s="242">
        <v>32.5</v>
      </c>
      <c r="F223" s="268">
        <f t="shared" si="30"/>
        <v>0.66666666666666663</v>
      </c>
      <c r="G223" s="325">
        <v>11.67</v>
      </c>
      <c r="H223" s="242">
        <f t="shared" si="31"/>
        <v>252.84999999999997</v>
      </c>
      <c r="I223" s="242">
        <f t="shared" si="32"/>
        <v>9.3648148148148138</v>
      </c>
      <c r="J223" s="243"/>
      <c r="K223" s="241"/>
      <c r="L223" s="241"/>
      <c r="M223" s="242"/>
      <c r="N223" s="195"/>
    </row>
    <row r="224" spans="1:14" s="271" customFormat="1" ht="12.75" x14ac:dyDescent="0.25">
      <c r="A224" s="266"/>
      <c r="B224" s="245"/>
      <c r="C224" s="269"/>
      <c r="D224" s="255"/>
      <c r="E224" s="268"/>
      <c r="F224" s="268"/>
      <c r="G224" s="325"/>
      <c r="H224" s="255"/>
      <c r="I224" s="255"/>
      <c r="J224" s="246"/>
      <c r="K224" s="269"/>
      <c r="L224" s="269"/>
      <c r="M224" s="273"/>
      <c r="N224" s="274"/>
    </row>
    <row r="225" spans="1:14" ht="16.5" customHeight="1" x14ac:dyDescent="0.25">
      <c r="A225" s="240"/>
      <c r="B225" s="51" t="s">
        <v>328</v>
      </c>
      <c r="C225" s="241"/>
      <c r="D225" s="242"/>
      <c r="E225" s="242"/>
      <c r="F225" s="242"/>
      <c r="G225" s="319"/>
      <c r="H225" s="242"/>
      <c r="I225" s="242"/>
      <c r="J225" s="243"/>
      <c r="K225" s="241"/>
      <c r="L225" s="241"/>
      <c r="M225" s="244"/>
      <c r="N225" s="195"/>
    </row>
    <row r="226" spans="1:14" ht="16.5" customHeight="1" x14ac:dyDescent="0.25">
      <c r="A226" s="240"/>
      <c r="B226" s="245" t="s">
        <v>354</v>
      </c>
      <c r="C226" s="241" t="s">
        <v>329</v>
      </c>
      <c r="D226" s="242">
        <v>1</v>
      </c>
      <c r="E226" s="242">
        <v>19.34</v>
      </c>
      <c r="F226" s="268">
        <f t="shared" ref="F226:F234" si="33">8/12</f>
        <v>0.66666666666666663</v>
      </c>
      <c r="G226" s="325">
        <v>11.67</v>
      </c>
      <c r="H226" s="242">
        <f t="shared" ref="H226:H234" si="34">+PRODUCT(D226:G226)</f>
        <v>150.46519999999998</v>
      </c>
      <c r="I226" s="242">
        <f t="shared" ref="I226:I234" si="35">H226/27</f>
        <v>5.5727851851851842</v>
      </c>
      <c r="J226" s="246"/>
      <c r="K226" s="241"/>
      <c r="L226" s="247"/>
      <c r="M226" s="248"/>
      <c r="N226" s="195"/>
    </row>
    <row r="227" spans="1:14" ht="16.5" customHeight="1" x14ac:dyDescent="0.25">
      <c r="A227" s="240"/>
      <c r="B227" s="245" t="s">
        <v>330</v>
      </c>
      <c r="C227" s="244" t="s">
        <v>327</v>
      </c>
      <c r="D227" s="242">
        <v>1</v>
      </c>
      <c r="E227" s="242">
        <v>6.02</v>
      </c>
      <c r="F227" s="268">
        <f t="shared" si="33"/>
        <v>0.66666666666666663</v>
      </c>
      <c r="G227" s="325">
        <v>11.67</v>
      </c>
      <c r="H227" s="242">
        <f t="shared" si="34"/>
        <v>46.835599999999992</v>
      </c>
      <c r="I227" s="242">
        <f t="shared" si="35"/>
        <v>1.7346518518518517</v>
      </c>
      <c r="J227" s="243"/>
      <c r="K227" s="241"/>
      <c r="L227" s="241"/>
      <c r="M227" s="244"/>
      <c r="N227" s="195"/>
    </row>
    <row r="228" spans="1:14" ht="16.5" customHeight="1" x14ac:dyDescent="0.25">
      <c r="A228" s="240"/>
      <c r="B228" s="245" t="s">
        <v>330</v>
      </c>
      <c r="C228" s="241" t="s">
        <v>352</v>
      </c>
      <c r="D228" s="242">
        <v>1</v>
      </c>
      <c r="E228" s="242">
        <v>8.6300000000000008</v>
      </c>
      <c r="F228" s="268">
        <f t="shared" si="33"/>
        <v>0.66666666666666663</v>
      </c>
      <c r="G228" s="325">
        <v>11.67</v>
      </c>
      <c r="H228" s="242">
        <f t="shared" si="34"/>
        <v>67.141400000000004</v>
      </c>
      <c r="I228" s="242">
        <f t="shared" si="35"/>
        <v>2.4867185185185186</v>
      </c>
      <c r="J228" s="243"/>
      <c r="K228" s="241"/>
      <c r="L228" s="241"/>
      <c r="M228" s="244"/>
      <c r="N228" s="195"/>
    </row>
    <row r="229" spans="1:14" ht="16.5" customHeight="1" x14ac:dyDescent="0.25">
      <c r="A229" s="240"/>
      <c r="B229" s="245" t="s">
        <v>331</v>
      </c>
      <c r="C229" s="241" t="s">
        <v>353</v>
      </c>
      <c r="D229" s="242">
        <v>1</v>
      </c>
      <c r="E229" s="242">
        <v>14.59</v>
      </c>
      <c r="F229" s="268">
        <f t="shared" si="33"/>
        <v>0.66666666666666663</v>
      </c>
      <c r="G229" s="325">
        <v>11.67</v>
      </c>
      <c r="H229" s="242">
        <f t="shared" si="34"/>
        <v>113.5102</v>
      </c>
      <c r="I229" s="242">
        <f t="shared" si="35"/>
        <v>4.2040814814814818</v>
      </c>
      <c r="J229" s="243"/>
      <c r="K229" s="241"/>
      <c r="L229" s="241"/>
      <c r="M229" s="244"/>
      <c r="N229" s="195"/>
    </row>
    <row r="230" spans="1:14" ht="16.5" customHeight="1" x14ac:dyDescent="0.25">
      <c r="A230" s="240"/>
      <c r="B230" s="245" t="s">
        <v>331</v>
      </c>
      <c r="C230" s="241" t="s">
        <v>332</v>
      </c>
      <c r="D230" s="242">
        <v>1</v>
      </c>
      <c r="E230" s="242">
        <v>19.34</v>
      </c>
      <c r="F230" s="268">
        <f t="shared" si="33"/>
        <v>0.66666666666666663</v>
      </c>
      <c r="G230" s="325">
        <v>11.67</v>
      </c>
      <c r="H230" s="242">
        <f t="shared" si="34"/>
        <v>150.46519999999998</v>
      </c>
      <c r="I230" s="242">
        <f t="shared" si="35"/>
        <v>5.5727851851851842</v>
      </c>
      <c r="J230" s="243"/>
      <c r="K230" s="241"/>
      <c r="L230" s="241"/>
      <c r="M230" s="244"/>
      <c r="N230" s="195"/>
    </row>
    <row r="231" spans="1:14" ht="16.5" customHeight="1" x14ac:dyDescent="0.25">
      <c r="A231" s="240"/>
      <c r="B231" s="245" t="s">
        <v>330</v>
      </c>
      <c r="C231" s="241" t="s">
        <v>356</v>
      </c>
      <c r="D231" s="242">
        <v>1</v>
      </c>
      <c r="E231" s="242">
        <v>8.65</v>
      </c>
      <c r="F231" s="268">
        <f t="shared" si="33"/>
        <v>0.66666666666666663</v>
      </c>
      <c r="G231" s="325">
        <v>11.67</v>
      </c>
      <c r="H231" s="242">
        <f t="shared" si="34"/>
        <v>67.296999999999997</v>
      </c>
      <c r="I231" s="242">
        <f t="shared" si="35"/>
        <v>2.4924814814814815</v>
      </c>
      <c r="J231" s="243"/>
      <c r="K231" s="241"/>
      <c r="L231" s="241"/>
      <c r="M231" s="244"/>
      <c r="N231" s="195"/>
    </row>
    <row r="232" spans="1:14" ht="16.5" customHeight="1" x14ac:dyDescent="0.25">
      <c r="A232" s="240"/>
      <c r="B232" s="245" t="s">
        <v>330</v>
      </c>
      <c r="C232" s="241" t="s">
        <v>357</v>
      </c>
      <c r="D232" s="242">
        <v>1</v>
      </c>
      <c r="E232" s="242">
        <v>6.47</v>
      </c>
      <c r="F232" s="268">
        <f t="shared" si="33"/>
        <v>0.66666666666666663</v>
      </c>
      <c r="G232" s="325">
        <v>11.67</v>
      </c>
      <c r="H232" s="242">
        <f t="shared" si="34"/>
        <v>50.33659999999999</v>
      </c>
      <c r="I232" s="242">
        <f t="shared" si="35"/>
        <v>1.864318518518518</v>
      </c>
      <c r="J232" s="243"/>
      <c r="K232" s="241"/>
      <c r="L232" s="241"/>
      <c r="M232" s="244"/>
      <c r="N232" s="195"/>
    </row>
    <row r="233" spans="1:14" ht="16.5" customHeight="1" x14ac:dyDescent="0.25">
      <c r="A233" s="240"/>
      <c r="B233" s="245" t="s">
        <v>355</v>
      </c>
      <c r="C233" s="241" t="s">
        <v>332</v>
      </c>
      <c r="D233" s="242">
        <v>1</v>
      </c>
      <c r="E233" s="242">
        <v>20.67</v>
      </c>
      <c r="F233" s="268">
        <f t="shared" si="33"/>
        <v>0.66666666666666663</v>
      </c>
      <c r="G233" s="325">
        <v>11.67</v>
      </c>
      <c r="H233" s="242">
        <f t="shared" si="34"/>
        <v>160.8126</v>
      </c>
      <c r="I233" s="242">
        <f t="shared" si="35"/>
        <v>5.9560222222222228</v>
      </c>
      <c r="J233" s="243"/>
      <c r="K233" s="241"/>
      <c r="L233" s="241"/>
      <c r="M233" s="244"/>
      <c r="N233" s="195"/>
    </row>
    <row r="234" spans="1:14" ht="16.5" customHeight="1" x14ac:dyDescent="0.25">
      <c r="A234" s="240"/>
      <c r="B234" s="245" t="s">
        <v>330</v>
      </c>
      <c r="C234" s="241" t="s">
        <v>333</v>
      </c>
      <c r="D234" s="242">
        <v>1</v>
      </c>
      <c r="E234" s="242">
        <v>26.6</v>
      </c>
      <c r="F234" s="268">
        <f t="shared" si="33"/>
        <v>0.66666666666666663</v>
      </c>
      <c r="G234" s="325">
        <v>11.67</v>
      </c>
      <c r="H234" s="242">
        <f t="shared" si="34"/>
        <v>206.94800000000001</v>
      </c>
      <c r="I234" s="242">
        <f t="shared" si="35"/>
        <v>7.6647407407407409</v>
      </c>
      <c r="J234" s="243"/>
      <c r="K234" s="241"/>
      <c r="L234" s="241"/>
      <c r="M234" s="244"/>
      <c r="N234" s="195"/>
    </row>
    <row r="235" spans="1:14" ht="16.5" customHeight="1" x14ac:dyDescent="0.25">
      <c r="A235" s="240"/>
      <c r="B235" s="247"/>
      <c r="C235" s="247"/>
      <c r="D235" s="249"/>
      <c r="E235" s="249"/>
      <c r="F235" s="249"/>
      <c r="G235" s="320"/>
      <c r="H235" s="249"/>
      <c r="I235" s="249"/>
      <c r="J235" s="246"/>
      <c r="K235" s="247"/>
      <c r="L235" s="241"/>
      <c r="M235" s="244"/>
      <c r="N235" s="195"/>
    </row>
    <row r="236" spans="1:14" ht="16.5" customHeight="1" x14ac:dyDescent="0.25">
      <c r="A236" s="240"/>
      <c r="B236" s="51" t="s">
        <v>334</v>
      </c>
      <c r="C236" s="241"/>
      <c r="D236" s="242"/>
      <c r="E236" s="242"/>
      <c r="F236" s="242"/>
      <c r="G236" s="319"/>
      <c r="H236" s="242"/>
      <c r="I236" s="242"/>
      <c r="J236" s="243"/>
      <c r="K236" s="241"/>
      <c r="L236" s="241"/>
      <c r="M236" s="244"/>
      <c r="N236" s="195"/>
    </row>
    <row r="237" spans="1:14" ht="16.5" customHeight="1" x14ac:dyDescent="0.25">
      <c r="A237" s="240"/>
      <c r="B237" s="245" t="s">
        <v>335</v>
      </c>
      <c r="C237" s="241" t="s">
        <v>336</v>
      </c>
      <c r="D237" s="242">
        <v>1</v>
      </c>
      <c r="E237" s="242">
        <v>20.72</v>
      </c>
      <c r="F237" s="268">
        <f t="shared" ref="F237:F244" si="36">8/12</f>
        <v>0.66666666666666663</v>
      </c>
      <c r="G237" s="325">
        <v>11.67</v>
      </c>
      <c r="H237" s="242">
        <f t="shared" ref="H237:H243" si="37">+PRODUCT(D237:G237)</f>
        <v>161.20159999999998</v>
      </c>
      <c r="I237" s="242">
        <f t="shared" ref="I237:I244" si="38">H237/27</f>
        <v>5.9704296296296286</v>
      </c>
      <c r="J237" s="243"/>
      <c r="K237" s="241"/>
      <c r="L237" s="241"/>
      <c r="M237" s="244"/>
      <c r="N237" s="195"/>
    </row>
    <row r="238" spans="1:14" ht="16.5" customHeight="1" x14ac:dyDescent="0.25">
      <c r="A238" s="240"/>
      <c r="B238" s="245" t="s">
        <v>337</v>
      </c>
      <c r="C238" s="241" t="s">
        <v>336</v>
      </c>
      <c r="D238" s="242">
        <v>1</v>
      </c>
      <c r="E238" s="242">
        <v>20.72</v>
      </c>
      <c r="F238" s="268">
        <f t="shared" si="36"/>
        <v>0.66666666666666663</v>
      </c>
      <c r="G238" s="325">
        <v>11.67</v>
      </c>
      <c r="H238" s="242">
        <f t="shared" si="37"/>
        <v>161.20159999999998</v>
      </c>
      <c r="I238" s="242">
        <f t="shared" si="38"/>
        <v>5.9704296296296286</v>
      </c>
      <c r="J238" s="243"/>
      <c r="K238" s="241"/>
      <c r="L238" s="241"/>
      <c r="M238" s="244"/>
      <c r="N238" s="195"/>
    </row>
    <row r="239" spans="1:14" ht="16.5" customHeight="1" x14ac:dyDescent="0.25">
      <c r="A239" s="240"/>
      <c r="B239" s="245" t="s">
        <v>335</v>
      </c>
      <c r="C239" s="241" t="s">
        <v>336</v>
      </c>
      <c r="D239" s="242">
        <v>1</v>
      </c>
      <c r="E239" s="242">
        <v>11.67</v>
      </c>
      <c r="F239" s="268">
        <f t="shared" si="36"/>
        <v>0.66666666666666663</v>
      </c>
      <c r="G239" s="325">
        <v>11.67</v>
      </c>
      <c r="H239" s="242">
        <f t="shared" si="37"/>
        <v>90.792599999999993</v>
      </c>
      <c r="I239" s="242">
        <f t="shared" si="38"/>
        <v>3.3626888888888886</v>
      </c>
      <c r="J239" s="243"/>
      <c r="K239" s="241"/>
      <c r="L239" s="241"/>
      <c r="M239" s="244"/>
      <c r="N239" s="195"/>
    </row>
    <row r="240" spans="1:14" ht="16.5" customHeight="1" x14ac:dyDescent="0.25">
      <c r="A240" s="240"/>
      <c r="B240" s="245" t="s">
        <v>335</v>
      </c>
      <c r="C240" s="241" t="s">
        <v>336</v>
      </c>
      <c r="D240" s="242">
        <v>2</v>
      </c>
      <c r="E240" s="242">
        <v>2.08</v>
      </c>
      <c r="F240" s="268">
        <f t="shared" si="36"/>
        <v>0.66666666666666663</v>
      </c>
      <c r="G240" s="325">
        <v>11.67</v>
      </c>
      <c r="H240" s="242">
        <f t="shared" si="37"/>
        <v>32.364800000000002</v>
      </c>
      <c r="I240" s="242">
        <f t="shared" si="38"/>
        <v>1.1986962962962964</v>
      </c>
      <c r="J240" s="243"/>
      <c r="K240" s="241"/>
      <c r="L240" s="241"/>
      <c r="M240" s="244"/>
      <c r="N240" s="195"/>
    </row>
    <row r="241" spans="1:14" ht="16.5" customHeight="1" x14ac:dyDescent="0.25">
      <c r="A241" s="240"/>
      <c r="B241" s="245" t="s">
        <v>335</v>
      </c>
      <c r="C241" s="241" t="s">
        <v>336</v>
      </c>
      <c r="D241" s="242">
        <v>1</v>
      </c>
      <c r="E241" s="242">
        <v>20.67</v>
      </c>
      <c r="F241" s="268">
        <f t="shared" si="36"/>
        <v>0.66666666666666663</v>
      </c>
      <c r="G241" s="325">
        <v>11.67</v>
      </c>
      <c r="H241" s="242">
        <f t="shared" si="37"/>
        <v>160.8126</v>
      </c>
      <c r="I241" s="242">
        <f t="shared" si="38"/>
        <v>5.9560222222222228</v>
      </c>
      <c r="J241" s="243"/>
      <c r="K241" s="241"/>
      <c r="L241" s="241"/>
      <c r="M241" s="244"/>
      <c r="N241" s="195"/>
    </row>
    <row r="242" spans="1:14" ht="16.5" customHeight="1" x14ac:dyDescent="0.25">
      <c r="A242" s="240"/>
      <c r="B242" s="245" t="s">
        <v>335</v>
      </c>
      <c r="C242" s="241" t="s">
        <v>336</v>
      </c>
      <c r="D242" s="242">
        <v>1</v>
      </c>
      <c r="E242" s="242">
        <v>8.44</v>
      </c>
      <c r="F242" s="268">
        <f t="shared" si="36"/>
        <v>0.66666666666666663</v>
      </c>
      <c r="G242" s="325">
        <v>11.67</v>
      </c>
      <c r="H242" s="242">
        <f t="shared" si="37"/>
        <v>65.663199999999989</v>
      </c>
      <c r="I242" s="242">
        <f t="shared" si="38"/>
        <v>2.4319703703703701</v>
      </c>
      <c r="J242" s="243"/>
      <c r="K242" s="241"/>
      <c r="L242" s="241"/>
      <c r="M242" s="244"/>
      <c r="N242" s="195"/>
    </row>
    <row r="243" spans="1:14" ht="16.5" customHeight="1" x14ac:dyDescent="0.25">
      <c r="A243" s="240"/>
      <c r="B243" s="245" t="s">
        <v>335</v>
      </c>
      <c r="C243" s="241" t="s">
        <v>336</v>
      </c>
      <c r="D243" s="242">
        <v>1</v>
      </c>
      <c r="E243" s="242">
        <v>20.83</v>
      </c>
      <c r="F243" s="268">
        <f t="shared" si="36"/>
        <v>0.66666666666666663</v>
      </c>
      <c r="G243" s="325">
        <v>11.67</v>
      </c>
      <c r="H243" s="242">
        <f t="shared" si="37"/>
        <v>162.05739999999997</v>
      </c>
      <c r="I243" s="242">
        <f t="shared" si="38"/>
        <v>6.0021259259259248</v>
      </c>
      <c r="J243" s="267"/>
      <c r="K243" s="241"/>
      <c r="L243" s="241"/>
      <c r="M243" s="244"/>
      <c r="N243" s="195"/>
    </row>
    <row r="244" spans="1:14" s="271" customFormat="1" ht="12.75" x14ac:dyDescent="0.25">
      <c r="A244" s="266"/>
      <c r="B244" s="245" t="s">
        <v>338</v>
      </c>
      <c r="C244" s="269" t="s">
        <v>339</v>
      </c>
      <c r="D244" s="255">
        <v>2</v>
      </c>
      <c r="E244" s="268">
        <f>29+(4/12)</f>
        <v>29.333333333333332</v>
      </c>
      <c r="F244" s="268">
        <f t="shared" si="36"/>
        <v>0.66666666666666663</v>
      </c>
      <c r="G244" s="325">
        <v>11.67</v>
      </c>
      <c r="H244" s="255">
        <f>PRODUCT(D244:G244)</f>
        <v>456.42666666666662</v>
      </c>
      <c r="I244" s="255">
        <f t="shared" si="38"/>
        <v>16.904691358024689</v>
      </c>
      <c r="K244" s="269"/>
      <c r="L244" s="269"/>
      <c r="M244" s="273"/>
      <c r="N244" s="274"/>
    </row>
    <row r="245" spans="1:14" s="290" customFormat="1" ht="12.75" x14ac:dyDescent="0.25">
      <c r="A245" s="286"/>
      <c r="B245" s="291" t="s">
        <v>429</v>
      </c>
      <c r="C245" s="245"/>
      <c r="D245" s="275"/>
      <c r="E245" s="287"/>
      <c r="F245" s="287"/>
      <c r="G245" s="328"/>
      <c r="H245" s="275"/>
      <c r="I245" s="275"/>
      <c r="J245" s="286"/>
      <c r="K245" s="245"/>
      <c r="L245" s="245"/>
      <c r="M245" s="288"/>
      <c r="N245" s="289"/>
    </row>
    <row r="246" spans="1:14" s="290" customFormat="1" ht="12.75" x14ac:dyDescent="0.25">
      <c r="A246" s="286"/>
      <c r="B246" s="245" t="s">
        <v>430</v>
      </c>
      <c r="C246" s="245"/>
      <c r="D246" s="275">
        <v>-3</v>
      </c>
      <c r="E246" s="275">
        <v>3</v>
      </c>
      <c r="F246" s="275">
        <v>0.67</v>
      </c>
      <c r="G246" s="329">
        <v>3.5</v>
      </c>
      <c r="H246" s="275">
        <f t="shared" ref="H246:H255" si="39">PRODUCT(D246:G246)</f>
        <v>-21.105</v>
      </c>
      <c r="I246" s="275">
        <f t="shared" ref="I246:I255" si="40">PRODUCT(H246:H246)/27</f>
        <v>-0.78166666666666673</v>
      </c>
      <c r="J246" s="286"/>
      <c r="K246" s="245"/>
      <c r="L246" s="245"/>
      <c r="M246" s="288"/>
      <c r="N246" s="289"/>
    </row>
    <row r="247" spans="1:14" s="290" customFormat="1" ht="12.75" x14ac:dyDescent="0.25">
      <c r="A247" s="286"/>
      <c r="B247" s="245" t="s">
        <v>439</v>
      </c>
      <c r="C247" s="245"/>
      <c r="D247" s="275">
        <v>-1</v>
      </c>
      <c r="E247" s="275">
        <v>9</v>
      </c>
      <c r="F247" s="275">
        <v>0.67</v>
      </c>
      <c r="G247" s="329">
        <f>7.08</f>
        <v>7.08</v>
      </c>
      <c r="H247" s="275">
        <f t="shared" si="39"/>
        <v>-42.692399999999999</v>
      </c>
      <c r="I247" s="275">
        <f t="shared" si="40"/>
        <v>-1.5811999999999999</v>
      </c>
      <c r="J247" s="286"/>
      <c r="K247" s="245"/>
      <c r="L247" s="245"/>
      <c r="M247" s="288"/>
      <c r="N247" s="289"/>
    </row>
    <row r="248" spans="1:14" s="290" customFormat="1" ht="12.75" x14ac:dyDescent="0.25">
      <c r="A248" s="286"/>
      <c r="B248" s="245" t="s">
        <v>440</v>
      </c>
      <c r="C248" s="245"/>
      <c r="D248" s="275">
        <v>-8</v>
      </c>
      <c r="E248" s="275">
        <v>1.5</v>
      </c>
      <c r="F248" s="275">
        <v>0.67</v>
      </c>
      <c r="G248" s="329">
        <v>1.5</v>
      </c>
      <c r="H248" s="275">
        <f t="shared" si="39"/>
        <v>-12.060000000000002</v>
      </c>
      <c r="I248" s="275">
        <f t="shared" si="40"/>
        <v>-0.44666666666666677</v>
      </c>
      <c r="J248" s="286"/>
      <c r="K248" s="245"/>
      <c r="L248" s="245"/>
      <c r="M248" s="288"/>
      <c r="N248" s="289"/>
    </row>
    <row r="249" spans="1:14" s="290" customFormat="1" ht="12.75" x14ac:dyDescent="0.25">
      <c r="A249" s="286"/>
      <c r="B249" s="245" t="s">
        <v>438</v>
      </c>
      <c r="C249" s="245"/>
      <c r="D249" s="275">
        <v>-4</v>
      </c>
      <c r="E249" s="275">
        <v>3.33</v>
      </c>
      <c r="F249" s="275">
        <v>0.67</v>
      </c>
      <c r="G249" s="329">
        <v>7.17</v>
      </c>
      <c r="H249" s="275">
        <f t="shared" si="39"/>
        <v>-63.987948000000003</v>
      </c>
      <c r="I249" s="275">
        <f t="shared" si="40"/>
        <v>-2.3699240000000001</v>
      </c>
      <c r="J249" s="286"/>
      <c r="K249" s="245"/>
      <c r="L249" s="245"/>
      <c r="M249" s="288"/>
      <c r="N249" s="289"/>
    </row>
    <row r="250" spans="1:14" s="290" customFormat="1" ht="12.75" x14ac:dyDescent="0.25">
      <c r="A250" s="286"/>
      <c r="B250" s="245" t="s">
        <v>441</v>
      </c>
      <c r="C250" s="245"/>
      <c r="D250" s="275">
        <v>-3</v>
      </c>
      <c r="E250" s="275">
        <f>6+4/12</f>
        <v>6.333333333333333</v>
      </c>
      <c r="F250" s="275">
        <v>0.67</v>
      </c>
      <c r="G250" s="329">
        <v>10</v>
      </c>
      <c r="H250" s="275">
        <f t="shared" si="39"/>
        <v>-127.30000000000001</v>
      </c>
      <c r="I250" s="275">
        <f t="shared" si="40"/>
        <v>-4.7148148148148152</v>
      </c>
      <c r="J250" s="286"/>
      <c r="K250" s="245"/>
      <c r="L250" s="245"/>
      <c r="M250" s="288"/>
      <c r="N250" s="289"/>
    </row>
    <row r="251" spans="1:14" s="290" customFormat="1" ht="12.75" x14ac:dyDescent="0.25">
      <c r="A251" s="286"/>
      <c r="B251" s="245" t="s">
        <v>441</v>
      </c>
      <c r="C251" s="245"/>
      <c r="D251" s="275">
        <v>-1</v>
      </c>
      <c r="E251" s="287">
        <f>29+4/12</f>
        <v>29.333333333333332</v>
      </c>
      <c r="F251" s="287">
        <v>0.67</v>
      </c>
      <c r="G251" s="328">
        <v>10</v>
      </c>
      <c r="H251" s="275">
        <f t="shared" si="39"/>
        <v>-196.53333333333333</v>
      </c>
      <c r="I251" s="275">
        <f t="shared" si="40"/>
        <v>-7.2790123456790123</v>
      </c>
      <c r="J251" s="286"/>
      <c r="K251" s="245"/>
      <c r="L251" s="245"/>
      <c r="M251" s="288"/>
      <c r="N251" s="289"/>
    </row>
    <row r="252" spans="1:14" s="290" customFormat="1" ht="12.75" x14ac:dyDescent="0.25">
      <c r="A252" s="286"/>
      <c r="B252" s="245" t="s">
        <v>442</v>
      </c>
      <c r="C252" s="245"/>
      <c r="D252" s="275">
        <v>-1</v>
      </c>
      <c r="E252" s="287">
        <f>17+11/12</f>
        <v>17.916666666666668</v>
      </c>
      <c r="F252" s="287">
        <v>0.67</v>
      </c>
      <c r="G252" s="328">
        <v>10</v>
      </c>
      <c r="H252" s="275">
        <f t="shared" si="39"/>
        <v>-120.04166666666669</v>
      </c>
      <c r="I252" s="275">
        <f t="shared" si="40"/>
        <v>-4.4459876543209882</v>
      </c>
      <c r="J252" s="286"/>
      <c r="K252" s="245"/>
      <c r="L252" s="245"/>
      <c r="M252" s="288"/>
      <c r="N252" s="289"/>
    </row>
    <row r="253" spans="1:14" s="290" customFormat="1" ht="12.75" x14ac:dyDescent="0.25">
      <c r="A253" s="286"/>
      <c r="B253" s="245" t="s">
        <v>443</v>
      </c>
      <c r="C253" s="245"/>
      <c r="D253" s="275">
        <v>-1</v>
      </c>
      <c r="E253" s="287">
        <f>13+5/12</f>
        <v>13.416666666666666</v>
      </c>
      <c r="F253" s="287">
        <v>0.67</v>
      </c>
      <c r="G253" s="328">
        <v>10</v>
      </c>
      <c r="H253" s="275">
        <f t="shared" si="39"/>
        <v>-89.89166666666668</v>
      </c>
      <c r="I253" s="275">
        <f t="shared" si="40"/>
        <v>-3.3293209876543215</v>
      </c>
      <c r="J253" s="286"/>
      <c r="K253" s="245"/>
      <c r="L253" s="245"/>
      <c r="M253" s="288"/>
      <c r="N253" s="289"/>
    </row>
    <row r="254" spans="1:14" s="290" customFormat="1" ht="12.75" x14ac:dyDescent="0.25">
      <c r="A254" s="286"/>
      <c r="B254" s="245" t="s">
        <v>443</v>
      </c>
      <c r="C254" s="245"/>
      <c r="D254" s="275">
        <v>-2</v>
      </c>
      <c r="E254" s="287">
        <f>11+6/12</f>
        <v>11.5</v>
      </c>
      <c r="F254" s="287">
        <v>0.67</v>
      </c>
      <c r="G254" s="328">
        <v>10</v>
      </c>
      <c r="H254" s="275">
        <f t="shared" si="39"/>
        <v>-154.1</v>
      </c>
      <c r="I254" s="275">
        <f t="shared" si="40"/>
        <v>-5.7074074074074073</v>
      </c>
      <c r="J254" s="286"/>
      <c r="K254" s="245"/>
      <c r="L254" s="245"/>
      <c r="M254" s="288"/>
      <c r="N254" s="289"/>
    </row>
    <row r="255" spans="1:14" s="290" customFormat="1" ht="12.75" x14ac:dyDescent="0.25">
      <c r="A255" s="286"/>
      <c r="B255" s="245" t="s">
        <v>443</v>
      </c>
      <c r="C255" s="245"/>
      <c r="D255" s="275">
        <v>-1</v>
      </c>
      <c r="E255" s="275">
        <f>6+4/12</f>
        <v>6.333333333333333</v>
      </c>
      <c r="F255" s="275">
        <v>0.67</v>
      </c>
      <c r="G255" s="329">
        <v>10</v>
      </c>
      <c r="H255" s="275">
        <f t="shared" si="39"/>
        <v>-42.43333333333333</v>
      </c>
      <c r="I255" s="275">
        <f t="shared" si="40"/>
        <v>-1.5716049382716049</v>
      </c>
      <c r="J255" s="286"/>
      <c r="K255" s="245"/>
      <c r="L255" s="245"/>
      <c r="M255" s="288"/>
      <c r="N255" s="289"/>
    </row>
    <row r="256" spans="1:14" s="271" customFormat="1" ht="12.75" x14ac:dyDescent="0.25">
      <c r="A256" s="266"/>
      <c r="B256" s="269"/>
      <c r="C256" s="269"/>
      <c r="D256" s="255"/>
      <c r="E256" s="547"/>
      <c r="F256" s="548"/>
      <c r="G256" s="330"/>
      <c r="H256" s="268"/>
      <c r="I256" s="268"/>
      <c r="J256" s="267"/>
      <c r="K256" s="269"/>
      <c r="L256" s="269"/>
      <c r="M256" s="273"/>
      <c r="N256" s="274"/>
    </row>
    <row r="257" spans="1:14" ht="16.5" customHeight="1" x14ac:dyDescent="0.25">
      <c r="A257" s="240"/>
      <c r="B257" s="304" t="s">
        <v>477</v>
      </c>
      <c r="C257" s="241"/>
      <c r="D257" s="242"/>
      <c r="E257" s="242"/>
      <c r="F257" s="242"/>
      <c r="G257" s="319"/>
      <c r="H257" s="242"/>
      <c r="I257" s="242"/>
      <c r="J257" s="243"/>
      <c r="K257" s="241"/>
      <c r="L257" s="241"/>
      <c r="M257" s="244"/>
      <c r="N257" s="195"/>
    </row>
    <row r="258" spans="1:14" s="290" customFormat="1" ht="12.75" x14ac:dyDescent="0.25">
      <c r="A258" s="286"/>
      <c r="B258" s="51" t="s">
        <v>478</v>
      </c>
      <c r="C258" s="245"/>
      <c r="D258" s="275"/>
      <c r="E258" s="275"/>
      <c r="F258" s="275"/>
      <c r="G258" s="329"/>
      <c r="H258" s="275"/>
      <c r="I258" s="275"/>
      <c r="J258" s="286"/>
      <c r="K258" s="245"/>
      <c r="L258" s="245"/>
      <c r="M258" s="288"/>
      <c r="N258" s="289"/>
    </row>
    <row r="259" spans="1:14" s="290" customFormat="1" ht="12.75" x14ac:dyDescent="0.25">
      <c r="A259" s="286"/>
      <c r="B259" s="51"/>
      <c r="C259" s="245"/>
      <c r="D259" s="275"/>
      <c r="E259" s="275"/>
      <c r="F259" s="275"/>
      <c r="G259" s="329"/>
      <c r="H259" s="275"/>
      <c r="I259" s="275"/>
      <c r="J259" s="286"/>
      <c r="K259" s="245"/>
      <c r="L259" s="245"/>
      <c r="M259" s="288"/>
      <c r="N259" s="289"/>
    </row>
    <row r="260" spans="1:14" s="290" customFormat="1" ht="12.75" x14ac:dyDescent="0.25">
      <c r="A260" s="286"/>
      <c r="B260" s="51" t="s">
        <v>428</v>
      </c>
      <c r="C260" s="269" t="s">
        <v>435</v>
      </c>
      <c r="D260" s="255">
        <v>1</v>
      </c>
      <c r="E260" s="255">
        <v>19.34</v>
      </c>
      <c r="F260" s="255"/>
      <c r="G260" s="325">
        <v>10</v>
      </c>
      <c r="H260" s="255">
        <f>PRODUCT(D260:G260)</f>
        <v>193.4</v>
      </c>
      <c r="I260" s="255">
        <f>H260</f>
        <v>193.4</v>
      </c>
      <c r="J260" s="255" t="s">
        <v>141</v>
      </c>
      <c r="K260" s="247"/>
      <c r="L260" s="245"/>
      <c r="M260" s="288"/>
      <c r="N260" s="289"/>
    </row>
    <row r="261" spans="1:14" s="290" customFormat="1" ht="12.75" x14ac:dyDescent="0.25">
      <c r="A261" s="286"/>
      <c r="B261" s="269" t="s">
        <v>479</v>
      </c>
      <c r="C261" s="269"/>
      <c r="D261" s="255">
        <v>2</v>
      </c>
      <c r="E261" s="255">
        <f>E260</f>
        <v>19.34</v>
      </c>
      <c r="F261" s="255"/>
      <c r="G261" s="322">
        <f>G260</f>
        <v>10</v>
      </c>
      <c r="H261" s="255">
        <f>PRODUCT(D261:G261)</f>
        <v>386.8</v>
      </c>
      <c r="I261" s="255">
        <f>H261</f>
        <v>386.8</v>
      </c>
      <c r="J261" s="255" t="s">
        <v>141</v>
      </c>
      <c r="K261" s="247"/>
      <c r="L261" s="245"/>
      <c r="M261" s="288"/>
      <c r="N261" s="289"/>
    </row>
    <row r="262" spans="1:14" s="290" customFormat="1" ht="12.75" x14ac:dyDescent="0.25">
      <c r="A262" s="286"/>
      <c r="B262" s="269" t="s">
        <v>480</v>
      </c>
      <c r="C262" s="269"/>
      <c r="D262" s="255">
        <v>1</v>
      </c>
      <c r="E262" s="255">
        <f>E261</f>
        <v>19.34</v>
      </c>
      <c r="F262" s="255"/>
      <c r="G262" s="322">
        <f>G261</f>
        <v>10</v>
      </c>
      <c r="H262" s="255">
        <f>PRODUCT(D262:G262)</f>
        <v>193.4</v>
      </c>
      <c r="I262" s="255">
        <f>H262</f>
        <v>193.4</v>
      </c>
      <c r="J262" s="255" t="s">
        <v>141</v>
      </c>
      <c r="K262" s="269"/>
      <c r="L262" s="245"/>
      <c r="M262" s="288"/>
      <c r="N262" s="289"/>
    </row>
    <row r="263" spans="1:14" s="290" customFormat="1" ht="12.75" x14ac:dyDescent="0.25">
      <c r="A263" s="286"/>
      <c r="B263" s="269" t="s">
        <v>481</v>
      </c>
      <c r="C263" s="269"/>
      <c r="D263" s="255">
        <f>ROUNDUP(E262/(16/12),0)</f>
        <v>15</v>
      </c>
      <c r="E263" s="255">
        <f>G262</f>
        <v>10</v>
      </c>
      <c r="F263" s="255"/>
      <c r="G263" s="325"/>
      <c r="H263" s="255">
        <f>PRODUCT(D263:G263)</f>
        <v>150</v>
      </c>
      <c r="I263" s="255">
        <f>H263</f>
        <v>150</v>
      </c>
      <c r="J263" s="255" t="s">
        <v>483</v>
      </c>
      <c r="K263" s="269"/>
      <c r="L263" s="245"/>
      <c r="M263" s="288"/>
      <c r="N263" s="289"/>
    </row>
    <row r="264" spans="1:14" s="290" customFormat="1" ht="12.75" x14ac:dyDescent="0.25">
      <c r="A264" s="286"/>
      <c r="B264" s="269" t="s">
        <v>482</v>
      </c>
      <c r="C264" s="269"/>
      <c r="D264" s="255">
        <f>ROUNDUP(E263/4,0)</f>
        <v>3</v>
      </c>
      <c r="E264" s="255">
        <f>E262</f>
        <v>19.34</v>
      </c>
      <c r="F264" s="255"/>
      <c r="G264" s="322"/>
      <c r="H264" s="255">
        <f>PRODUCT(D264:G264)</f>
        <v>58.019999999999996</v>
      </c>
      <c r="I264" s="255">
        <f>H264</f>
        <v>58.019999999999996</v>
      </c>
      <c r="J264" s="255" t="s">
        <v>483</v>
      </c>
      <c r="K264" s="269"/>
      <c r="L264" s="245"/>
      <c r="M264" s="288"/>
      <c r="N264" s="289"/>
    </row>
    <row r="265" spans="1:14" s="290" customFormat="1" ht="12.75" x14ac:dyDescent="0.25">
      <c r="A265" s="286"/>
      <c r="B265" s="245"/>
      <c r="C265" s="245"/>
      <c r="D265" s="275"/>
      <c r="E265" s="275"/>
      <c r="F265" s="275"/>
      <c r="G265" s="329"/>
      <c r="H265" s="275"/>
      <c r="I265" s="275"/>
      <c r="J265" s="286"/>
      <c r="K265" s="245"/>
      <c r="L265" s="245"/>
      <c r="M265" s="288"/>
      <c r="N265" s="289"/>
    </row>
    <row r="266" spans="1:14" s="290" customFormat="1" ht="12.75" x14ac:dyDescent="0.25">
      <c r="A266" s="286"/>
      <c r="B266" s="51" t="s">
        <v>330</v>
      </c>
      <c r="C266" s="269" t="s">
        <v>435</v>
      </c>
      <c r="D266" s="255">
        <v>1</v>
      </c>
      <c r="E266" s="255">
        <v>26.5</v>
      </c>
      <c r="F266" s="255"/>
      <c r="G266" s="325">
        <v>10</v>
      </c>
      <c r="H266" s="255"/>
      <c r="I266" s="255"/>
      <c r="J266" s="246"/>
      <c r="K266" s="247"/>
      <c r="L266" s="245"/>
      <c r="M266" s="288"/>
      <c r="N266" s="289"/>
    </row>
    <row r="267" spans="1:14" s="290" customFormat="1" ht="12.75" x14ac:dyDescent="0.25">
      <c r="A267" s="286"/>
      <c r="B267" s="269" t="s">
        <v>479</v>
      </c>
      <c r="C267" s="269"/>
      <c r="D267" s="255">
        <v>2</v>
      </c>
      <c r="E267" s="255">
        <f>E266</f>
        <v>26.5</v>
      </c>
      <c r="F267" s="255"/>
      <c r="G267" s="322">
        <f>G266</f>
        <v>10</v>
      </c>
      <c r="H267" s="255">
        <f>PRODUCT(D267:G267)</f>
        <v>530</v>
      </c>
      <c r="I267" s="255">
        <f>H267</f>
        <v>530</v>
      </c>
      <c r="J267" s="255" t="s">
        <v>141</v>
      </c>
      <c r="K267" s="247"/>
      <c r="L267" s="245"/>
      <c r="M267" s="288"/>
      <c r="N267" s="289"/>
    </row>
    <row r="268" spans="1:14" s="290" customFormat="1" ht="12.75" x14ac:dyDescent="0.25">
      <c r="A268" s="286"/>
      <c r="B268" s="269" t="s">
        <v>480</v>
      </c>
      <c r="C268" s="269"/>
      <c r="D268" s="255">
        <v>1</v>
      </c>
      <c r="E268" s="255">
        <f>E267</f>
        <v>26.5</v>
      </c>
      <c r="F268" s="255"/>
      <c r="G268" s="322">
        <f>G267</f>
        <v>10</v>
      </c>
      <c r="H268" s="255">
        <f>PRODUCT(D268:G268)</f>
        <v>265</v>
      </c>
      <c r="I268" s="255">
        <f>H268</f>
        <v>265</v>
      </c>
      <c r="J268" s="255" t="s">
        <v>141</v>
      </c>
      <c r="K268" s="269"/>
      <c r="L268" s="245"/>
      <c r="M268" s="288"/>
      <c r="N268" s="289"/>
    </row>
    <row r="269" spans="1:14" s="290" customFormat="1" ht="12.75" x14ac:dyDescent="0.25">
      <c r="A269" s="286"/>
      <c r="B269" s="269" t="s">
        <v>481</v>
      </c>
      <c r="C269" s="269"/>
      <c r="D269" s="255">
        <f>ROUNDUP(E268/(16/12),0)</f>
        <v>20</v>
      </c>
      <c r="E269" s="255">
        <f>G268</f>
        <v>10</v>
      </c>
      <c r="F269" s="255"/>
      <c r="G269" s="325"/>
      <c r="H269" s="255">
        <f>PRODUCT(D269:G269)</f>
        <v>200</v>
      </c>
      <c r="I269" s="255">
        <f>H269</f>
        <v>200</v>
      </c>
      <c r="J269" s="255" t="s">
        <v>483</v>
      </c>
      <c r="K269" s="269"/>
      <c r="L269" s="245"/>
      <c r="M269" s="288"/>
      <c r="N269" s="289"/>
    </row>
    <row r="270" spans="1:14" s="290" customFormat="1" ht="12.75" x14ac:dyDescent="0.25">
      <c r="A270" s="286"/>
      <c r="B270" s="269" t="s">
        <v>482</v>
      </c>
      <c r="C270" s="269"/>
      <c r="D270" s="255">
        <f>ROUNDUP(E269/4,0)</f>
        <v>3</v>
      </c>
      <c r="E270" s="255">
        <f>E268</f>
        <v>26.5</v>
      </c>
      <c r="F270" s="255"/>
      <c r="G270" s="322"/>
      <c r="H270" s="255">
        <f>PRODUCT(D270:G270)</f>
        <v>79.5</v>
      </c>
      <c r="I270" s="255">
        <f>H270</f>
        <v>79.5</v>
      </c>
      <c r="J270" s="255" t="s">
        <v>483</v>
      </c>
      <c r="K270" s="269"/>
      <c r="L270" s="245"/>
      <c r="M270" s="288"/>
      <c r="N270" s="289"/>
    </row>
    <row r="271" spans="1:14" s="290" customFormat="1" ht="12.75" x14ac:dyDescent="0.25">
      <c r="A271" s="286"/>
      <c r="B271" s="245"/>
      <c r="C271" s="245"/>
      <c r="D271" s="275"/>
      <c r="E271" s="275"/>
      <c r="F271" s="275"/>
      <c r="G271" s="329"/>
      <c r="H271" s="275"/>
      <c r="I271" s="275"/>
      <c r="J271" s="286"/>
      <c r="K271" s="245"/>
      <c r="L271" s="245"/>
      <c r="M271" s="288"/>
      <c r="N271" s="289"/>
    </row>
    <row r="272" spans="1:14" s="290" customFormat="1" ht="12.75" x14ac:dyDescent="0.25">
      <c r="A272" s="286"/>
      <c r="B272" s="254" t="s">
        <v>330</v>
      </c>
      <c r="C272" s="269" t="s">
        <v>484</v>
      </c>
      <c r="D272" s="255">
        <v>1</v>
      </c>
      <c r="E272" s="255">
        <v>9.39</v>
      </c>
      <c r="F272" s="255"/>
      <c r="G272" s="325">
        <v>10</v>
      </c>
      <c r="H272" s="255"/>
      <c r="I272" s="255">
        <f>H272</f>
        <v>0</v>
      </c>
      <c r="J272" s="255"/>
      <c r="K272" s="269"/>
      <c r="L272" s="245"/>
      <c r="M272" s="288"/>
      <c r="N272" s="289"/>
    </row>
    <row r="273" spans="1:14" s="290" customFormat="1" ht="12.75" x14ac:dyDescent="0.25">
      <c r="A273" s="286"/>
      <c r="B273" s="269" t="s">
        <v>479</v>
      </c>
      <c r="C273" s="269"/>
      <c r="D273" s="255">
        <v>1</v>
      </c>
      <c r="E273" s="255">
        <f>E272</f>
        <v>9.39</v>
      </c>
      <c r="F273" s="255"/>
      <c r="G273" s="322">
        <f>G272</f>
        <v>10</v>
      </c>
      <c r="H273" s="255">
        <f>PRODUCT(D273:G273)</f>
        <v>93.9</v>
      </c>
      <c r="I273" s="255">
        <f>H273</f>
        <v>93.9</v>
      </c>
      <c r="J273" s="255" t="s">
        <v>141</v>
      </c>
      <c r="K273" s="247"/>
      <c r="L273" s="245"/>
      <c r="M273" s="288"/>
      <c r="N273" s="289"/>
    </row>
    <row r="274" spans="1:14" s="290" customFormat="1" ht="12.75" x14ac:dyDescent="0.25">
      <c r="A274" s="286"/>
      <c r="B274" s="269" t="s">
        <v>480</v>
      </c>
      <c r="C274" s="269"/>
      <c r="D274" s="255">
        <v>1</v>
      </c>
      <c r="E274" s="255">
        <f>E273</f>
        <v>9.39</v>
      </c>
      <c r="F274" s="255"/>
      <c r="G274" s="322">
        <f>G273</f>
        <v>10</v>
      </c>
      <c r="H274" s="255">
        <f>PRODUCT(D274:G274)</f>
        <v>93.9</v>
      </c>
      <c r="I274" s="255">
        <f>H274</f>
        <v>93.9</v>
      </c>
      <c r="J274" s="255" t="s">
        <v>141</v>
      </c>
      <c r="K274" s="247"/>
      <c r="L274" s="245"/>
      <c r="M274" s="288"/>
      <c r="N274" s="289"/>
    </row>
    <row r="275" spans="1:14" s="290" customFormat="1" ht="12.75" x14ac:dyDescent="0.25">
      <c r="A275" s="286"/>
      <c r="B275" s="269" t="s">
        <v>481</v>
      </c>
      <c r="C275" s="269"/>
      <c r="D275" s="255">
        <f>ROUNDUP(E274/(16/12),0)</f>
        <v>8</v>
      </c>
      <c r="E275" s="255">
        <f>G274</f>
        <v>10</v>
      </c>
      <c r="F275" s="255"/>
      <c r="G275" s="325"/>
      <c r="H275" s="255">
        <f>PRODUCT(D275:G275)</f>
        <v>80</v>
      </c>
      <c r="I275" s="255">
        <f>H275</f>
        <v>80</v>
      </c>
      <c r="J275" s="255" t="s">
        <v>483</v>
      </c>
      <c r="K275" s="247"/>
      <c r="L275" s="245"/>
      <c r="M275" s="288"/>
      <c r="N275" s="289"/>
    </row>
    <row r="276" spans="1:14" s="290" customFormat="1" ht="12.75" x14ac:dyDescent="0.25">
      <c r="A276" s="286"/>
      <c r="B276" s="269" t="s">
        <v>482</v>
      </c>
      <c r="C276" s="269"/>
      <c r="D276" s="255">
        <f>ROUNDUP(E275/3,0)</f>
        <v>4</v>
      </c>
      <c r="E276" s="255">
        <f>E274</f>
        <v>9.39</v>
      </c>
      <c r="F276" s="255"/>
      <c r="G276" s="322"/>
      <c r="H276" s="255">
        <f>PRODUCT(D276:G276)</f>
        <v>37.56</v>
      </c>
      <c r="I276" s="255">
        <f>H276</f>
        <v>37.56</v>
      </c>
      <c r="J276" s="255" t="s">
        <v>483</v>
      </c>
      <c r="K276" s="247"/>
      <c r="L276" s="245"/>
      <c r="M276" s="288"/>
      <c r="N276" s="289"/>
    </row>
    <row r="277" spans="1:14" s="290" customFormat="1" ht="12.75" x14ac:dyDescent="0.25">
      <c r="A277" s="286"/>
      <c r="B277" s="245"/>
      <c r="C277" s="245"/>
      <c r="D277" s="275"/>
      <c r="E277" s="275"/>
      <c r="F277" s="275"/>
      <c r="G277" s="329"/>
      <c r="H277" s="275"/>
      <c r="I277" s="275"/>
      <c r="J277" s="286"/>
      <c r="K277" s="245"/>
      <c r="L277" s="245"/>
      <c r="M277" s="288"/>
      <c r="N277" s="289"/>
    </row>
    <row r="278" spans="1:14" s="290" customFormat="1" ht="12.75" x14ac:dyDescent="0.25">
      <c r="A278" s="286"/>
      <c r="B278" s="254" t="s">
        <v>330</v>
      </c>
      <c r="C278" s="269" t="s">
        <v>485</v>
      </c>
      <c r="D278" s="255">
        <v>1</v>
      </c>
      <c r="E278" s="255">
        <v>6.47</v>
      </c>
      <c r="F278" s="255"/>
      <c r="G278" s="325">
        <v>10</v>
      </c>
      <c r="H278" s="255"/>
      <c r="I278" s="255">
        <f>H278</f>
        <v>0</v>
      </c>
      <c r="J278" s="255"/>
      <c r="K278" s="247"/>
      <c r="L278" s="245"/>
      <c r="M278" s="288"/>
      <c r="N278" s="289"/>
    </row>
    <row r="279" spans="1:14" s="290" customFormat="1" ht="12.75" x14ac:dyDescent="0.25">
      <c r="A279" s="286"/>
      <c r="B279" s="269" t="s">
        <v>479</v>
      </c>
      <c r="C279" s="269"/>
      <c r="D279" s="255">
        <v>1</v>
      </c>
      <c r="E279" s="255">
        <f>E278</f>
        <v>6.47</v>
      </c>
      <c r="F279" s="255"/>
      <c r="G279" s="322">
        <f>G278</f>
        <v>10</v>
      </c>
      <c r="H279" s="255">
        <f>PRODUCT(D279:G279)</f>
        <v>64.7</v>
      </c>
      <c r="I279" s="255">
        <f>H279</f>
        <v>64.7</v>
      </c>
      <c r="J279" s="255" t="s">
        <v>141</v>
      </c>
      <c r="K279" s="247"/>
      <c r="L279" s="245"/>
      <c r="M279" s="288"/>
      <c r="N279" s="289"/>
    </row>
    <row r="280" spans="1:14" s="290" customFormat="1" ht="12.75" x14ac:dyDescent="0.25">
      <c r="A280" s="286"/>
      <c r="B280" s="269" t="s">
        <v>480</v>
      </c>
      <c r="C280" s="269"/>
      <c r="D280" s="255">
        <v>1</v>
      </c>
      <c r="E280" s="255">
        <f>E279</f>
        <v>6.47</v>
      </c>
      <c r="F280" s="255"/>
      <c r="G280" s="322">
        <f>G279</f>
        <v>10</v>
      </c>
      <c r="H280" s="255">
        <f>PRODUCT(D280:G280)</f>
        <v>64.7</v>
      </c>
      <c r="I280" s="255">
        <f>H280</f>
        <v>64.7</v>
      </c>
      <c r="J280" s="255" t="s">
        <v>141</v>
      </c>
      <c r="K280" s="247"/>
      <c r="L280" s="245"/>
      <c r="M280" s="288"/>
      <c r="N280" s="289"/>
    </row>
    <row r="281" spans="1:14" s="290" customFormat="1" ht="12.75" x14ac:dyDescent="0.25">
      <c r="A281" s="286"/>
      <c r="B281" s="269" t="s">
        <v>481</v>
      </c>
      <c r="C281" s="269"/>
      <c r="D281" s="255">
        <f>ROUNDUP(E280/(16/12),0)</f>
        <v>5</v>
      </c>
      <c r="E281" s="255">
        <f>G280</f>
        <v>10</v>
      </c>
      <c r="F281" s="255"/>
      <c r="G281" s="325"/>
      <c r="H281" s="255">
        <f>PRODUCT(D281:G281)</f>
        <v>50</v>
      </c>
      <c r="I281" s="255">
        <f>H281</f>
        <v>50</v>
      </c>
      <c r="J281" s="255" t="s">
        <v>483</v>
      </c>
      <c r="K281" s="247"/>
      <c r="L281" s="245"/>
      <c r="M281" s="288"/>
      <c r="N281" s="289"/>
    </row>
    <row r="282" spans="1:14" s="290" customFormat="1" ht="12.75" x14ac:dyDescent="0.25">
      <c r="A282" s="286"/>
      <c r="B282" s="269" t="s">
        <v>482</v>
      </c>
      <c r="C282" s="269"/>
      <c r="D282" s="255">
        <f>ROUNDUP(E281/4,0)</f>
        <v>3</v>
      </c>
      <c r="E282" s="255">
        <f>E280</f>
        <v>6.47</v>
      </c>
      <c r="F282" s="255"/>
      <c r="G282" s="322"/>
      <c r="H282" s="255">
        <f>PRODUCT(D282:G282)</f>
        <v>19.41</v>
      </c>
      <c r="I282" s="255">
        <f>H282</f>
        <v>19.41</v>
      </c>
      <c r="J282" s="255" t="s">
        <v>483</v>
      </c>
      <c r="K282" s="247"/>
      <c r="L282" s="245"/>
      <c r="M282" s="288"/>
      <c r="N282" s="289"/>
    </row>
    <row r="283" spans="1:14" s="290" customFormat="1" ht="12.75" x14ac:dyDescent="0.25">
      <c r="A283" s="286"/>
      <c r="B283" s="245"/>
      <c r="C283" s="245"/>
      <c r="D283" s="275"/>
      <c r="E283" s="275"/>
      <c r="F283" s="275"/>
      <c r="G283" s="329"/>
      <c r="H283" s="275"/>
      <c r="I283" s="275"/>
      <c r="J283" s="286"/>
      <c r="K283" s="245"/>
      <c r="L283" s="245"/>
      <c r="M283" s="288"/>
      <c r="N283" s="289"/>
    </row>
    <row r="284" spans="1:14" s="271" customFormat="1" ht="13.5" customHeight="1" outlineLevel="1" x14ac:dyDescent="0.25">
      <c r="A284" s="266"/>
      <c r="B284" s="254" t="s">
        <v>496</v>
      </c>
      <c r="C284" s="269" t="s">
        <v>497</v>
      </c>
      <c r="D284" s="255">
        <v>1</v>
      </c>
      <c r="E284" s="268">
        <f>6.94+3.46</f>
        <v>10.4</v>
      </c>
      <c r="F284" s="268"/>
      <c r="G284" s="325">
        <v>10</v>
      </c>
      <c r="H284" s="255"/>
      <c r="I284" s="255">
        <f t="shared" ref="I284:I289" si="41">H284</f>
        <v>0</v>
      </c>
      <c r="J284" s="255"/>
      <c r="K284" s="247"/>
      <c r="L284" s="269"/>
      <c r="M284" s="273"/>
      <c r="N284" s="270"/>
    </row>
    <row r="285" spans="1:14" s="271" customFormat="1" ht="13.5" customHeight="1" outlineLevel="1" x14ac:dyDescent="0.25">
      <c r="A285" s="266"/>
      <c r="B285" s="269" t="s">
        <v>487</v>
      </c>
      <c r="C285" s="269"/>
      <c r="D285" s="255">
        <v>2</v>
      </c>
      <c r="E285" s="255">
        <f>E284</f>
        <v>10.4</v>
      </c>
      <c r="F285" s="255"/>
      <c r="G285" s="322">
        <f>G284</f>
        <v>10</v>
      </c>
      <c r="H285" s="255">
        <f>PRODUCT(D285:G285)</f>
        <v>208</v>
      </c>
      <c r="I285" s="255">
        <f t="shared" si="41"/>
        <v>208</v>
      </c>
      <c r="J285" s="255" t="s">
        <v>368</v>
      </c>
      <c r="K285" s="247"/>
      <c r="L285" s="269"/>
      <c r="M285" s="273"/>
      <c r="N285" s="270"/>
    </row>
    <row r="286" spans="1:14" s="271" customFormat="1" ht="13.5" customHeight="1" outlineLevel="1" x14ac:dyDescent="0.25">
      <c r="A286" s="266"/>
      <c r="B286" s="269" t="s">
        <v>488</v>
      </c>
      <c r="C286" s="269"/>
      <c r="D286" s="255">
        <v>2</v>
      </c>
      <c r="E286" s="255">
        <f>E285</f>
        <v>10.4</v>
      </c>
      <c r="F286" s="255"/>
      <c r="G286" s="325">
        <f>G285</f>
        <v>10</v>
      </c>
      <c r="H286" s="255">
        <f>PRODUCT(D286:G286)</f>
        <v>208</v>
      </c>
      <c r="I286" s="255">
        <f t="shared" si="41"/>
        <v>208</v>
      </c>
      <c r="J286" s="255" t="s">
        <v>368</v>
      </c>
      <c r="K286" s="247"/>
      <c r="L286" s="269"/>
      <c r="M286" s="273"/>
      <c r="N286" s="270"/>
    </row>
    <row r="287" spans="1:14" s="271" customFormat="1" ht="13.5" customHeight="1" outlineLevel="1" x14ac:dyDescent="0.25">
      <c r="A287" s="266"/>
      <c r="B287" s="269" t="s">
        <v>489</v>
      </c>
      <c r="C287" s="269"/>
      <c r="D287" s="255">
        <f>ROUNDUP(E286/(16/12),0)</f>
        <v>8</v>
      </c>
      <c r="E287" s="255">
        <f>G286</f>
        <v>10</v>
      </c>
      <c r="F287" s="255"/>
      <c r="G287" s="322"/>
      <c r="H287" s="255">
        <f>PRODUCT(D287:G287)</f>
        <v>80</v>
      </c>
      <c r="I287" s="255">
        <f t="shared" si="41"/>
        <v>80</v>
      </c>
      <c r="J287" s="255" t="s">
        <v>483</v>
      </c>
      <c r="K287" s="247"/>
      <c r="L287" s="269"/>
      <c r="M287" s="273"/>
      <c r="N287" s="270"/>
    </row>
    <row r="288" spans="1:14" s="271" customFormat="1" ht="13.5" customHeight="1" outlineLevel="1" x14ac:dyDescent="0.25">
      <c r="A288" s="266"/>
      <c r="B288" s="269" t="s">
        <v>490</v>
      </c>
      <c r="C288" s="269"/>
      <c r="D288" s="255">
        <f>ROUNDUP(E287/2,0)</f>
        <v>5</v>
      </c>
      <c r="E288" s="255">
        <f>E286</f>
        <v>10.4</v>
      </c>
      <c r="F288" s="255"/>
      <c r="G288" s="322"/>
      <c r="H288" s="255">
        <f>PRODUCT(D288:G288)</f>
        <v>52</v>
      </c>
      <c r="I288" s="255">
        <f t="shared" si="41"/>
        <v>52</v>
      </c>
      <c r="J288" s="255" t="s">
        <v>483</v>
      </c>
      <c r="K288" s="247"/>
      <c r="L288" s="269"/>
      <c r="M288" s="273"/>
      <c r="N288" s="270"/>
    </row>
    <row r="289" spans="1:14" s="271" customFormat="1" ht="13.5" customHeight="1" outlineLevel="1" x14ac:dyDescent="0.25">
      <c r="A289" s="266"/>
      <c r="B289" s="269" t="s">
        <v>491</v>
      </c>
      <c r="C289" s="269"/>
      <c r="D289" s="255">
        <v>1</v>
      </c>
      <c r="E289" s="255">
        <f>E286</f>
        <v>10.4</v>
      </c>
      <c r="F289" s="255"/>
      <c r="G289" s="325">
        <f>G286</f>
        <v>10</v>
      </c>
      <c r="H289" s="255">
        <f>PRODUCT(D289:G289)</f>
        <v>104</v>
      </c>
      <c r="I289" s="255">
        <f t="shared" si="41"/>
        <v>104</v>
      </c>
      <c r="J289" s="255" t="s">
        <v>368</v>
      </c>
      <c r="K289" s="247"/>
      <c r="L289" s="269"/>
      <c r="M289" s="273"/>
      <c r="N289" s="270"/>
    </row>
    <row r="290" spans="1:14" s="271" customFormat="1" ht="13.5" customHeight="1" outlineLevel="1" x14ac:dyDescent="0.25">
      <c r="A290" s="266"/>
      <c r="B290" s="269"/>
      <c r="C290" s="269"/>
      <c r="D290" s="255"/>
      <c r="E290" s="255"/>
      <c r="F290" s="255"/>
      <c r="G290" s="325"/>
      <c r="H290" s="255"/>
      <c r="I290" s="255"/>
      <c r="J290" s="255"/>
      <c r="K290" s="247"/>
      <c r="L290" s="269"/>
      <c r="M290" s="273"/>
      <c r="N290" s="270"/>
    </row>
    <row r="291" spans="1:14" s="271" customFormat="1" ht="13.5" customHeight="1" outlineLevel="1" x14ac:dyDescent="0.25">
      <c r="A291" s="266"/>
      <c r="B291" s="254" t="s">
        <v>496</v>
      </c>
      <c r="C291" s="269" t="s">
        <v>396</v>
      </c>
      <c r="D291" s="255">
        <v>1</v>
      </c>
      <c r="E291" s="268">
        <f>12.4+8.89</f>
        <v>21.29</v>
      </c>
      <c r="F291" s="268"/>
      <c r="G291" s="325">
        <v>10</v>
      </c>
      <c r="H291" s="255"/>
      <c r="I291" s="255">
        <f t="shared" ref="I291:I296" si="42">H291</f>
        <v>0</v>
      </c>
      <c r="J291" s="255"/>
      <c r="K291" s="247"/>
      <c r="L291" s="269"/>
      <c r="M291" s="273"/>
      <c r="N291" s="270"/>
    </row>
    <row r="292" spans="1:14" s="271" customFormat="1" ht="12.75" outlineLevel="1" x14ac:dyDescent="0.25">
      <c r="A292" s="266"/>
      <c r="B292" s="269" t="s">
        <v>487</v>
      </c>
      <c r="C292" s="269" t="s">
        <v>495</v>
      </c>
      <c r="D292" s="255">
        <v>2</v>
      </c>
      <c r="E292" s="255">
        <f>E291</f>
        <v>21.29</v>
      </c>
      <c r="F292" s="255"/>
      <c r="G292" s="322">
        <f>G291</f>
        <v>10</v>
      </c>
      <c r="H292" s="255">
        <f>PRODUCT(D292:G292)</f>
        <v>425.79999999999995</v>
      </c>
      <c r="I292" s="255">
        <f t="shared" si="42"/>
        <v>425.79999999999995</v>
      </c>
      <c r="J292" s="255" t="s">
        <v>368</v>
      </c>
      <c r="K292" s="269"/>
      <c r="L292" s="269"/>
      <c r="M292" s="273"/>
      <c r="N292" s="270"/>
    </row>
    <row r="293" spans="1:14" s="271" customFormat="1" ht="12.75" outlineLevel="1" x14ac:dyDescent="0.25">
      <c r="A293" s="266"/>
      <c r="B293" s="269" t="s">
        <v>488</v>
      </c>
      <c r="C293" s="269" t="s">
        <v>495</v>
      </c>
      <c r="D293" s="255">
        <v>2</v>
      </c>
      <c r="E293" s="255">
        <f>E292</f>
        <v>21.29</v>
      </c>
      <c r="F293" s="255"/>
      <c r="G293" s="325">
        <f>G292</f>
        <v>10</v>
      </c>
      <c r="H293" s="255">
        <f>PRODUCT(D293:G293)</f>
        <v>425.79999999999995</v>
      </c>
      <c r="I293" s="255">
        <f t="shared" si="42"/>
        <v>425.79999999999995</v>
      </c>
      <c r="J293" s="255" t="s">
        <v>368</v>
      </c>
      <c r="K293" s="269"/>
      <c r="L293" s="269"/>
      <c r="M293" s="273"/>
      <c r="N293" s="270"/>
    </row>
    <row r="294" spans="1:14" s="271" customFormat="1" ht="12.75" outlineLevel="1" x14ac:dyDescent="0.25">
      <c r="A294" s="266"/>
      <c r="B294" s="269" t="s">
        <v>489</v>
      </c>
      <c r="C294" s="269" t="s">
        <v>495</v>
      </c>
      <c r="D294" s="255">
        <f>ROUNDUP(E293/(16/12),0)</f>
        <v>16</v>
      </c>
      <c r="E294" s="255">
        <f>G293</f>
        <v>10</v>
      </c>
      <c r="F294" s="255"/>
      <c r="G294" s="322"/>
      <c r="H294" s="255">
        <f>PRODUCT(D294:G294)</f>
        <v>160</v>
      </c>
      <c r="I294" s="255">
        <f t="shared" si="42"/>
        <v>160</v>
      </c>
      <c r="J294" s="255" t="s">
        <v>483</v>
      </c>
      <c r="K294" s="269"/>
      <c r="L294" s="269"/>
      <c r="M294" s="273"/>
      <c r="N294" s="270"/>
    </row>
    <row r="295" spans="1:14" s="271" customFormat="1" ht="12.75" outlineLevel="1" x14ac:dyDescent="0.25">
      <c r="A295" s="266"/>
      <c r="B295" s="269" t="s">
        <v>490</v>
      </c>
      <c r="C295" s="269" t="s">
        <v>495</v>
      </c>
      <c r="D295" s="255">
        <f>ROUNDUP(E294/2,0)</f>
        <v>5</v>
      </c>
      <c r="E295" s="255">
        <f>E293</f>
        <v>21.29</v>
      </c>
      <c r="F295" s="255"/>
      <c r="G295" s="322"/>
      <c r="H295" s="255">
        <f>PRODUCT(D295:G295)</f>
        <v>106.44999999999999</v>
      </c>
      <c r="I295" s="255">
        <f t="shared" si="42"/>
        <v>106.44999999999999</v>
      </c>
      <c r="J295" s="255" t="s">
        <v>483</v>
      </c>
      <c r="K295" s="269"/>
      <c r="L295" s="269"/>
      <c r="M295" s="273"/>
      <c r="N295" s="270"/>
    </row>
    <row r="296" spans="1:14" s="271" customFormat="1" ht="12.75" outlineLevel="1" x14ac:dyDescent="0.25">
      <c r="A296" s="266"/>
      <c r="B296" s="269" t="s">
        <v>491</v>
      </c>
      <c r="C296" s="269" t="s">
        <v>495</v>
      </c>
      <c r="D296" s="255">
        <v>1</v>
      </c>
      <c r="E296" s="255">
        <f>E293</f>
        <v>21.29</v>
      </c>
      <c r="F296" s="255"/>
      <c r="G296" s="325">
        <f>G293</f>
        <v>10</v>
      </c>
      <c r="H296" s="255">
        <f>PRODUCT(D296:G296)</f>
        <v>212.89999999999998</v>
      </c>
      <c r="I296" s="255">
        <f t="shared" si="42"/>
        <v>212.89999999999998</v>
      </c>
      <c r="J296" s="255" t="s">
        <v>368</v>
      </c>
      <c r="K296" s="269"/>
      <c r="L296" s="269"/>
      <c r="M296" s="273"/>
      <c r="N296" s="270"/>
    </row>
    <row r="297" spans="1:14" s="271" customFormat="1" ht="12.75" outlineLevel="1" x14ac:dyDescent="0.25">
      <c r="A297" s="266"/>
      <c r="B297" s="269"/>
      <c r="C297" s="269"/>
      <c r="D297" s="255"/>
      <c r="E297" s="255"/>
      <c r="F297" s="255"/>
      <c r="G297" s="325"/>
      <c r="H297" s="255"/>
      <c r="I297" s="255"/>
      <c r="J297" s="255"/>
      <c r="K297" s="269"/>
      <c r="L297" s="269"/>
      <c r="M297" s="273"/>
      <c r="N297" s="270"/>
    </row>
    <row r="298" spans="1:14" s="271" customFormat="1" ht="12.75" outlineLevel="1" x14ac:dyDescent="0.25">
      <c r="A298" s="266"/>
      <c r="B298" s="254" t="s">
        <v>486</v>
      </c>
      <c r="C298" s="269" t="s">
        <v>436</v>
      </c>
      <c r="D298" s="255">
        <v>1</v>
      </c>
      <c r="E298" s="268">
        <f>8.16+5.33+5.33</f>
        <v>18.82</v>
      </c>
      <c r="F298" s="255"/>
      <c r="G298" s="325">
        <v>10</v>
      </c>
      <c r="H298" s="255"/>
      <c r="I298" s="255">
        <f t="shared" ref="I298:I303" si="43">H298</f>
        <v>0</v>
      </c>
      <c r="J298" s="255"/>
      <c r="K298" s="247"/>
      <c r="L298" s="269"/>
      <c r="M298" s="273"/>
      <c r="N298" s="270"/>
    </row>
    <row r="299" spans="1:14" s="271" customFormat="1" ht="12.75" outlineLevel="1" x14ac:dyDescent="0.25">
      <c r="A299" s="266"/>
      <c r="B299" s="269" t="s">
        <v>487</v>
      </c>
      <c r="C299" s="269"/>
      <c r="D299" s="255">
        <v>2</v>
      </c>
      <c r="E299" s="255">
        <f>E298</f>
        <v>18.82</v>
      </c>
      <c r="F299" s="255"/>
      <c r="G299" s="322">
        <f>G298</f>
        <v>10</v>
      </c>
      <c r="H299" s="255">
        <f>PRODUCT(D299:G299)</f>
        <v>376.4</v>
      </c>
      <c r="I299" s="255">
        <f t="shared" si="43"/>
        <v>376.4</v>
      </c>
      <c r="J299" s="255" t="s">
        <v>368</v>
      </c>
      <c r="K299" s="247"/>
      <c r="L299" s="269"/>
      <c r="M299" s="273"/>
      <c r="N299" s="270"/>
    </row>
    <row r="300" spans="1:14" s="271" customFormat="1" ht="25.5" outlineLevel="1" x14ac:dyDescent="0.25">
      <c r="A300" s="266"/>
      <c r="B300" s="305" t="s">
        <v>488</v>
      </c>
      <c r="C300" s="269"/>
      <c r="D300" s="255">
        <v>2</v>
      </c>
      <c r="E300" s="255">
        <f>E299</f>
        <v>18.82</v>
      </c>
      <c r="F300" s="255"/>
      <c r="G300" s="322">
        <f>G299</f>
        <v>10</v>
      </c>
      <c r="H300" s="255">
        <f>PRODUCT(D300:G300)</f>
        <v>376.4</v>
      </c>
      <c r="I300" s="255">
        <f t="shared" si="43"/>
        <v>376.4</v>
      </c>
      <c r="J300" s="255" t="s">
        <v>368</v>
      </c>
      <c r="K300" s="247"/>
      <c r="L300" s="269"/>
      <c r="M300" s="273"/>
      <c r="N300" s="270"/>
    </row>
    <row r="301" spans="1:14" s="271" customFormat="1" ht="12.75" outlineLevel="1" x14ac:dyDescent="0.25">
      <c r="A301" s="266"/>
      <c r="B301" s="269" t="s">
        <v>489</v>
      </c>
      <c r="C301" s="269"/>
      <c r="D301" s="255">
        <f>ROUNDUP(E300/(16/12),0)</f>
        <v>15</v>
      </c>
      <c r="E301" s="255">
        <f>G300</f>
        <v>10</v>
      </c>
      <c r="F301" s="255"/>
      <c r="G301" s="325"/>
      <c r="H301" s="255">
        <f>PRODUCT(D301:G301)</f>
        <v>150</v>
      </c>
      <c r="I301" s="255">
        <f t="shared" si="43"/>
        <v>150</v>
      </c>
      <c r="J301" s="255" t="s">
        <v>483</v>
      </c>
      <c r="K301" s="247"/>
      <c r="L301" s="269"/>
      <c r="M301" s="273"/>
      <c r="N301" s="270"/>
    </row>
    <row r="302" spans="1:14" s="271" customFormat="1" ht="12.75" outlineLevel="1" x14ac:dyDescent="0.25">
      <c r="A302" s="266"/>
      <c r="B302" s="269" t="s">
        <v>490</v>
      </c>
      <c r="C302" s="269"/>
      <c r="D302" s="255">
        <f>ROUNDUP(E301/2,0)</f>
        <v>5</v>
      </c>
      <c r="E302" s="255">
        <f>E300</f>
        <v>18.82</v>
      </c>
      <c r="F302" s="255"/>
      <c r="G302" s="322"/>
      <c r="H302" s="255">
        <f>PRODUCT(D302:G302)</f>
        <v>94.1</v>
      </c>
      <c r="I302" s="255">
        <f t="shared" si="43"/>
        <v>94.1</v>
      </c>
      <c r="J302" s="255" t="s">
        <v>483</v>
      </c>
      <c r="K302" s="247"/>
      <c r="L302" s="269"/>
      <c r="M302" s="273"/>
      <c r="N302" s="270"/>
    </row>
    <row r="303" spans="1:14" s="271" customFormat="1" ht="12.75" outlineLevel="1" x14ac:dyDescent="0.25">
      <c r="A303" s="266"/>
      <c r="B303" s="269" t="s">
        <v>491</v>
      </c>
      <c r="C303" s="269"/>
      <c r="D303" s="255">
        <v>1</v>
      </c>
      <c r="E303" s="255">
        <f>E300</f>
        <v>18.82</v>
      </c>
      <c r="F303" s="255"/>
      <c r="G303" s="322">
        <f>G300</f>
        <v>10</v>
      </c>
      <c r="H303" s="255">
        <f>PRODUCT(D303:G303)</f>
        <v>188.2</v>
      </c>
      <c r="I303" s="255">
        <f t="shared" si="43"/>
        <v>188.2</v>
      </c>
      <c r="J303" s="255" t="s">
        <v>368</v>
      </c>
      <c r="K303" s="247"/>
      <c r="L303" s="269"/>
      <c r="M303" s="273"/>
      <c r="N303" s="270"/>
    </row>
    <row r="304" spans="1:14" s="290" customFormat="1" ht="12.75" x14ac:dyDescent="0.25">
      <c r="A304" s="286"/>
      <c r="B304" s="245"/>
      <c r="C304" s="245"/>
      <c r="D304" s="275"/>
      <c r="E304" s="275"/>
      <c r="F304" s="275"/>
      <c r="G304" s="329"/>
      <c r="H304" s="275"/>
      <c r="I304" s="275"/>
      <c r="J304" s="286"/>
      <c r="K304" s="245"/>
      <c r="L304" s="245"/>
      <c r="M304" s="288"/>
      <c r="N304" s="289"/>
    </row>
    <row r="305" spans="1:14" s="271" customFormat="1" ht="12.75" outlineLevel="1" x14ac:dyDescent="0.25">
      <c r="A305" s="266"/>
      <c r="B305" s="254" t="s">
        <v>494</v>
      </c>
      <c r="C305" s="269" t="s">
        <v>436</v>
      </c>
      <c r="D305" s="255">
        <v>1</v>
      </c>
      <c r="E305" s="255">
        <v>8.16</v>
      </c>
      <c r="F305" s="255"/>
      <c r="G305" s="322">
        <v>10</v>
      </c>
      <c r="H305" s="255"/>
      <c r="I305" s="255">
        <f t="shared" ref="I305:I310" si="44">H305</f>
        <v>0</v>
      </c>
      <c r="J305" s="255"/>
      <c r="K305" s="247"/>
      <c r="L305" s="269"/>
      <c r="M305" s="273"/>
      <c r="N305" s="270"/>
    </row>
    <row r="306" spans="1:14" s="271" customFormat="1" ht="12.75" outlineLevel="1" x14ac:dyDescent="0.25">
      <c r="A306" s="266"/>
      <c r="B306" s="269" t="s">
        <v>487</v>
      </c>
      <c r="C306" s="269"/>
      <c r="D306" s="255">
        <v>2</v>
      </c>
      <c r="E306" s="255">
        <f>E305</f>
        <v>8.16</v>
      </c>
      <c r="F306" s="255"/>
      <c r="G306" s="322">
        <f>G305</f>
        <v>10</v>
      </c>
      <c r="H306" s="255">
        <f>PRODUCT(D306:G306)</f>
        <v>163.19999999999999</v>
      </c>
      <c r="I306" s="255">
        <f t="shared" si="44"/>
        <v>163.19999999999999</v>
      </c>
      <c r="J306" s="255" t="s">
        <v>368</v>
      </c>
      <c r="K306" s="247"/>
      <c r="L306" s="269"/>
      <c r="M306" s="273"/>
      <c r="N306" s="270"/>
    </row>
    <row r="307" spans="1:14" s="271" customFormat="1" ht="12.75" outlineLevel="1" x14ac:dyDescent="0.25">
      <c r="A307" s="266"/>
      <c r="B307" s="269" t="s">
        <v>488</v>
      </c>
      <c r="C307" s="269"/>
      <c r="D307" s="255">
        <v>2</v>
      </c>
      <c r="E307" s="255">
        <f>E306</f>
        <v>8.16</v>
      </c>
      <c r="F307" s="255"/>
      <c r="G307" s="325">
        <f>G306</f>
        <v>10</v>
      </c>
      <c r="H307" s="255">
        <f>PRODUCT(D307:G307)</f>
        <v>163.19999999999999</v>
      </c>
      <c r="I307" s="255">
        <f t="shared" si="44"/>
        <v>163.19999999999999</v>
      </c>
      <c r="J307" s="255" t="s">
        <v>368</v>
      </c>
      <c r="K307" s="247"/>
      <c r="L307" s="269"/>
      <c r="M307" s="273"/>
      <c r="N307" s="270"/>
    </row>
    <row r="308" spans="1:14" s="271" customFormat="1" ht="12.75" outlineLevel="1" x14ac:dyDescent="0.25">
      <c r="A308" s="266"/>
      <c r="B308" s="269" t="s">
        <v>489</v>
      </c>
      <c r="C308" s="269"/>
      <c r="D308" s="255">
        <f>ROUNDUP(E307/(16/12),0)</f>
        <v>7</v>
      </c>
      <c r="E308" s="255">
        <f>G307</f>
        <v>10</v>
      </c>
      <c r="F308" s="255"/>
      <c r="G308" s="322"/>
      <c r="H308" s="255">
        <f>PRODUCT(D308:G308)</f>
        <v>70</v>
      </c>
      <c r="I308" s="255">
        <f t="shared" si="44"/>
        <v>70</v>
      </c>
      <c r="J308" s="255" t="s">
        <v>483</v>
      </c>
      <c r="K308" s="247"/>
      <c r="L308" s="269"/>
      <c r="M308" s="273"/>
      <c r="N308" s="270"/>
    </row>
    <row r="309" spans="1:14" s="271" customFormat="1" ht="12.75" outlineLevel="1" x14ac:dyDescent="0.25">
      <c r="A309" s="266"/>
      <c r="B309" s="269" t="s">
        <v>490</v>
      </c>
      <c r="C309" s="269"/>
      <c r="D309" s="255">
        <f>ROUNDUP(E308/2,0)</f>
        <v>5</v>
      </c>
      <c r="E309" s="255">
        <f>E307</f>
        <v>8.16</v>
      </c>
      <c r="F309" s="255"/>
      <c r="G309" s="322"/>
      <c r="H309" s="255">
        <f>PRODUCT(D309:G309)</f>
        <v>40.799999999999997</v>
      </c>
      <c r="I309" s="255">
        <f t="shared" si="44"/>
        <v>40.799999999999997</v>
      </c>
      <c r="J309" s="255" t="s">
        <v>483</v>
      </c>
      <c r="K309" s="247"/>
      <c r="L309" s="269"/>
      <c r="M309" s="273"/>
      <c r="N309" s="270"/>
    </row>
    <row r="310" spans="1:14" s="271" customFormat="1" ht="12.75" outlineLevel="1" x14ac:dyDescent="0.25">
      <c r="A310" s="266"/>
      <c r="B310" s="269" t="s">
        <v>491</v>
      </c>
      <c r="C310" s="269"/>
      <c r="D310" s="255">
        <v>1</v>
      </c>
      <c r="E310" s="255">
        <f>E307</f>
        <v>8.16</v>
      </c>
      <c r="F310" s="255"/>
      <c r="G310" s="325">
        <f>G307</f>
        <v>10</v>
      </c>
      <c r="H310" s="255">
        <f>PRODUCT(D310:G310)</f>
        <v>81.599999999999994</v>
      </c>
      <c r="I310" s="255">
        <f t="shared" si="44"/>
        <v>81.599999999999994</v>
      </c>
      <c r="J310" s="255" t="s">
        <v>368</v>
      </c>
      <c r="K310" s="247"/>
      <c r="L310" s="269"/>
      <c r="M310" s="273"/>
      <c r="N310" s="270"/>
    </row>
    <row r="311" spans="1:14" s="290" customFormat="1" ht="12.75" x14ac:dyDescent="0.25">
      <c r="A311" s="286"/>
      <c r="B311" s="254"/>
      <c r="C311" s="269"/>
      <c r="D311" s="255"/>
      <c r="E311" s="255"/>
      <c r="F311" s="255"/>
      <c r="G311" s="322"/>
      <c r="H311" s="255"/>
      <c r="I311" s="255"/>
      <c r="J311" s="255"/>
      <c r="K311" s="245"/>
      <c r="L311" s="245"/>
      <c r="M311" s="288"/>
      <c r="N311" s="289"/>
    </row>
    <row r="312" spans="1:14" s="272" customFormat="1" ht="12.75" x14ac:dyDescent="0.25">
      <c r="A312" s="279"/>
      <c r="B312" s="280" t="s">
        <v>545</v>
      </c>
      <c r="C312" s="281"/>
      <c r="D312" s="279"/>
      <c r="E312" s="282"/>
      <c r="F312" s="282"/>
      <c r="G312" s="331"/>
      <c r="H312" s="282"/>
      <c r="I312" s="282">
        <f>SUM(H313:H322)</f>
        <v>4806.1699999999992</v>
      </c>
      <c r="J312" s="282" t="s">
        <v>141</v>
      </c>
      <c r="K312" s="281"/>
      <c r="L312" s="281"/>
      <c r="M312" s="306"/>
    </row>
    <row r="313" spans="1:14" s="290" customFormat="1" ht="14.45" customHeight="1" x14ac:dyDescent="0.25">
      <c r="A313" s="286"/>
      <c r="B313" s="269" t="s">
        <v>546</v>
      </c>
      <c r="C313" s="269" t="s">
        <v>427</v>
      </c>
      <c r="D313" s="255">
        <v>1</v>
      </c>
      <c r="E313" s="547">
        <v>568.29999999999995</v>
      </c>
      <c r="F313" s="548"/>
      <c r="G313" s="255"/>
      <c r="H313" s="255">
        <f t="shared" ref="H313:H322" si="45">PRODUCT(D313:G313)</f>
        <v>568.29999999999995</v>
      </c>
      <c r="I313" s="255">
        <f t="shared" ref="I313:I322" si="46">H313</f>
        <v>568.29999999999995</v>
      </c>
      <c r="J313" s="267"/>
      <c r="K313" s="245"/>
      <c r="L313" s="245"/>
      <c r="M313" s="288"/>
      <c r="N313" s="289"/>
    </row>
    <row r="314" spans="1:14" s="290" customFormat="1" ht="14.45" customHeight="1" x14ac:dyDescent="0.25">
      <c r="A314" s="286"/>
      <c r="B314" s="269" t="s">
        <v>546</v>
      </c>
      <c r="C314" s="269" t="s">
        <v>391</v>
      </c>
      <c r="D314" s="255">
        <v>1</v>
      </c>
      <c r="E314" s="547">
        <v>3006.73</v>
      </c>
      <c r="F314" s="548"/>
      <c r="G314" s="255"/>
      <c r="H314" s="255">
        <f t="shared" si="45"/>
        <v>3006.73</v>
      </c>
      <c r="I314" s="255">
        <f t="shared" si="46"/>
        <v>3006.73</v>
      </c>
      <c r="J314" s="267"/>
      <c r="K314" s="245"/>
      <c r="L314" s="245"/>
      <c r="M314" s="288"/>
      <c r="N314" s="289"/>
    </row>
    <row r="315" spans="1:14" s="290" customFormat="1" ht="14.45" customHeight="1" x14ac:dyDescent="0.25">
      <c r="A315" s="286"/>
      <c r="B315" s="269" t="s">
        <v>544</v>
      </c>
      <c r="C315" s="269" t="s">
        <v>392</v>
      </c>
      <c r="D315" s="255">
        <v>1</v>
      </c>
      <c r="E315" s="545">
        <v>153.41</v>
      </c>
      <c r="F315" s="546"/>
      <c r="G315" s="255"/>
      <c r="H315" s="255">
        <f t="shared" si="45"/>
        <v>153.41</v>
      </c>
      <c r="I315" s="255">
        <f t="shared" si="46"/>
        <v>153.41</v>
      </c>
      <c r="J315" s="267"/>
      <c r="K315" s="245"/>
      <c r="L315" s="245"/>
      <c r="M315" s="288"/>
      <c r="N315" s="289"/>
    </row>
    <row r="316" spans="1:14" s="290" customFormat="1" ht="14.45" customHeight="1" x14ac:dyDescent="0.25">
      <c r="A316" s="286"/>
      <c r="B316" s="269" t="s">
        <v>544</v>
      </c>
      <c r="C316" s="269" t="s">
        <v>393</v>
      </c>
      <c r="D316" s="255">
        <v>1</v>
      </c>
      <c r="E316" s="545">
        <v>150.05000000000001</v>
      </c>
      <c r="F316" s="546"/>
      <c r="G316" s="255"/>
      <c r="H316" s="255">
        <f t="shared" si="45"/>
        <v>150.05000000000001</v>
      </c>
      <c r="I316" s="255">
        <f t="shared" si="46"/>
        <v>150.05000000000001</v>
      </c>
      <c r="J316" s="267"/>
      <c r="K316" s="245"/>
      <c r="L316" s="245"/>
      <c r="M316" s="288"/>
      <c r="N316" s="289"/>
    </row>
    <row r="317" spans="1:14" s="290" customFormat="1" ht="14.45" customHeight="1" x14ac:dyDescent="0.25">
      <c r="A317" s="286"/>
      <c r="B317" s="269" t="s">
        <v>544</v>
      </c>
      <c r="C317" s="269" t="s">
        <v>394</v>
      </c>
      <c r="D317" s="255">
        <v>1</v>
      </c>
      <c r="E317" s="545">
        <v>36.17</v>
      </c>
      <c r="F317" s="546"/>
      <c r="G317" s="255"/>
      <c r="H317" s="255">
        <f t="shared" si="45"/>
        <v>36.17</v>
      </c>
      <c r="I317" s="255">
        <f t="shared" si="46"/>
        <v>36.17</v>
      </c>
      <c r="J317" s="267"/>
      <c r="K317" s="245"/>
      <c r="L317" s="245"/>
      <c r="M317" s="288"/>
      <c r="N317" s="289"/>
    </row>
    <row r="318" spans="1:14" s="290" customFormat="1" ht="14.45" customHeight="1" x14ac:dyDescent="0.25">
      <c r="A318" s="286"/>
      <c r="B318" s="269" t="s">
        <v>544</v>
      </c>
      <c r="C318" s="269" t="s">
        <v>395</v>
      </c>
      <c r="D318" s="255">
        <v>1</v>
      </c>
      <c r="E318" s="545">
        <v>568.36</v>
      </c>
      <c r="F318" s="546"/>
      <c r="G318" s="255"/>
      <c r="H318" s="255">
        <f t="shared" si="45"/>
        <v>568.36</v>
      </c>
      <c r="I318" s="255">
        <f t="shared" si="46"/>
        <v>568.36</v>
      </c>
      <c r="J318" s="267"/>
      <c r="K318" s="245"/>
      <c r="L318" s="245"/>
      <c r="M318" s="288"/>
      <c r="N318" s="289"/>
    </row>
    <row r="319" spans="1:14" s="290" customFormat="1" ht="14.45" customHeight="1" x14ac:dyDescent="0.25">
      <c r="A319" s="286"/>
      <c r="B319" s="269" t="s">
        <v>544</v>
      </c>
      <c r="C319" s="269" t="s">
        <v>396</v>
      </c>
      <c r="D319" s="255">
        <v>1</v>
      </c>
      <c r="E319" s="545">
        <v>106.26</v>
      </c>
      <c r="F319" s="546"/>
      <c r="G319" s="255"/>
      <c r="H319" s="255">
        <f t="shared" si="45"/>
        <v>106.26</v>
      </c>
      <c r="I319" s="255">
        <f t="shared" si="46"/>
        <v>106.26</v>
      </c>
      <c r="J319" s="267"/>
      <c r="K319" s="245"/>
      <c r="L319" s="245"/>
      <c r="M319" s="288"/>
      <c r="N319" s="289"/>
    </row>
    <row r="320" spans="1:14" s="290" customFormat="1" ht="14.45" customHeight="1" x14ac:dyDescent="0.25">
      <c r="A320" s="286"/>
      <c r="B320" s="269" t="s">
        <v>544</v>
      </c>
      <c r="C320" s="269" t="s">
        <v>397</v>
      </c>
      <c r="D320" s="255">
        <v>1</v>
      </c>
      <c r="E320" s="545">
        <v>195.9</v>
      </c>
      <c r="F320" s="546"/>
      <c r="G320" s="255"/>
      <c r="H320" s="255">
        <f t="shared" si="45"/>
        <v>195.9</v>
      </c>
      <c r="I320" s="255">
        <f t="shared" si="46"/>
        <v>195.9</v>
      </c>
      <c r="J320" s="267"/>
      <c r="K320" s="245"/>
      <c r="L320" s="245"/>
      <c r="M320" s="288"/>
      <c r="N320" s="289"/>
    </row>
    <row r="321" spans="1:14" s="290" customFormat="1" ht="12.75" x14ac:dyDescent="0.25">
      <c r="A321" s="286"/>
      <c r="B321" s="269" t="s">
        <v>544</v>
      </c>
      <c r="C321" s="269" t="s">
        <v>398</v>
      </c>
      <c r="D321" s="255">
        <v>1</v>
      </c>
      <c r="E321" s="545">
        <v>10.24</v>
      </c>
      <c r="F321" s="546"/>
      <c r="G321" s="255"/>
      <c r="H321" s="255">
        <f t="shared" si="45"/>
        <v>10.24</v>
      </c>
      <c r="I321" s="255">
        <f t="shared" si="46"/>
        <v>10.24</v>
      </c>
      <c r="J321" s="267"/>
      <c r="K321" s="245"/>
      <c r="L321" s="245"/>
      <c r="M321" s="288"/>
      <c r="N321" s="289"/>
    </row>
    <row r="322" spans="1:14" s="290" customFormat="1" ht="12.75" x14ac:dyDescent="0.25">
      <c r="A322" s="286"/>
      <c r="B322" s="269" t="s">
        <v>544</v>
      </c>
      <c r="C322" s="269" t="s">
        <v>399</v>
      </c>
      <c r="D322" s="255">
        <v>1</v>
      </c>
      <c r="E322" s="545">
        <v>10.75</v>
      </c>
      <c r="F322" s="546"/>
      <c r="G322" s="255"/>
      <c r="H322" s="255">
        <f t="shared" si="45"/>
        <v>10.75</v>
      </c>
      <c r="I322" s="255">
        <f t="shared" si="46"/>
        <v>10.75</v>
      </c>
      <c r="J322" s="267"/>
      <c r="K322" s="245"/>
      <c r="L322" s="245"/>
      <c r="M322" s="288"/>
      <c r="N322" s="289"/>
    </row>
    <row r="323" spans="1:14" s="290" customFormat="1" ht="12.75" x14ac:dyDescent="0.25">
      <c r="A323" s="286"/>
      <c r="B323" s="269"/>
      <c r="C323" s="269"/>
      <c r="D323" s="255"/>
      <c r="E323" s="312"/>
      <c r="F323" s="313"/>
      <c r="G323" s="255"/>
      <c r="H323" s="255"/>
      <c r="I323" s="255"/>
      <c r="J323" s="267"/>
      <c r="K323" s="245"/>
      <c r="L323" s="245"/>
      <c r="M323" s="288"/>
      <c r="N323" s="289"/>
    </row>
    <row r="324" spans="1:14" s="272" customFormat="1" ht="12.75" x14ac:dyDescent="0.25">
      <c r="A324" s="279"/>
      <c r="B324" s="280" t="s">
        <v>547</v>
      </c>
      <c r="C324" s="281"/>
      <c r="D324" s="279"/>
      <c r="E324" s="282"/>
      <c r="F324" s="282"/>
      <c r="G324" s="282"/>
      <c r="H324" s="282"/>
      <c r="I324" s="282">
        <f>SUM(H325:H337)</f>
        <v>504.03000000000003</v>
      </c>
      <c r="J324" s="279" t="s">
        <v>483</v>
      </c>
      <c r="K324" s="281"/>
      <c r="L324" s="281"/>
      <c r="M324" s="306"/>
    </row>
    <row r="325" spans="1:14" s="271" customFormat="1" ht="12.75" x14ac:dyDescent="0.25">
      <c r="A325" s="266"/>
      <c r="B325" s="269" t="s">
        <v>548</v>
      </c>
      <c r="C325" s="269" t="s">
        <v>427</v>
      </c>
      <c r="D325" s="255">
        <v>1</v>
      </c>
      <c r="E325" s="255">
        <f>110.69-3</f>
        <v>107.69</v>
      </c>
      <c r="F325" s="268"/>
      <c r="G325" s="255"/>
      <c r="H325" s="255">
        <f t="shared" ref="H325:H332" si="47">PRODUCT(D325:G325)</f>
        <v>107.69</v>
      </c>
      <c r="I325" s="255">
        <f t="shared" ref="I325:I332" si="48">H325</f>
        <v>107.69</v>
      </c>
      <c r="J325" s="267"/>
      <c r="K325" s="269"/>
      <c r="L325" s="269"/>
      <c r="M325" s="273"/>
    </row>
    <row r="326" spans="1:14" s="271" customFormat="1" ht="12.75" x14ac:dyDescent="0.25">
      <c r="A326" s="266"/>
      <c r="B326" s="269" t="s">
        <v>549</v>
      </c>
      <c r="C326" s="269" t="s">
        <v>392</v>
      </c>
      <c r="D326" s="255">
        <v>1</v>
      </c>
      <c r="E326" s="311">
        <f>62.88-2-2-3.5-3.5</f>
        <v>51.88</v>
      </c>
      <c r="F326" s="268"/>
      <c r="G326" s="255"/>
      <c r="H326" s="311">
        <f t="shared" si="47"/>
        <v>51.88</v>
      </c>
      <c r="I326" s="255">
        <f t="shared" si="48"/>
        <v>51.88</v>
      </c>
      <c r="J326" s="267"/>
      <c r="K326" s="269"/>
      <c r="L326" s="269"/>
      <c r="M326" s="273"/>
    </row>
    <row r="327" spans="1:14" s="271" customFormat="1" ht="15" customHeight="1" x14ac:dyDescent="0.25">
      <c r="A327" s="266"/>
      <c r="B327" s="269" t="s">
        <v>549</v>
      </c>
      <c r="C327" s="269" t="s">
        <v>393</v>
      </c>
      <c r="D327" s="255">
        <v>1</v>
      </c>
      <c r="E327" s="311">
        <f>62.88-2-2-3.5-3.5</f>
        <v>51.88</v>
      </c>
      <c r="F327" s="268"/>
      <c r="G327" s="255"/>
      <c r="H327" s="311">
        <f t="shared" si="47"/>
        <v>51.88</v>
      </c>
      <c r="I327" s="255">
        <f t="shared" si="48"/>
        <v>51.88</v>
      </c>
      <c r="J327" s="267"/>
      <c r="K327" s="269"/>
      <c r="L327" s="269"/>
      <c r="M327" s="273"/>
    </row>
    <row r="328" spans="1:14" s="271" customFormat="1" ht="12.75" x14ac:dyDescent="0.25">
      <c r="A328" s="266"/>
      <c r="B328" s="269" t="s">
        <v>549</v>
      </c>
      <c r="C328" s="269" t="s">
        <v>394</v>
      </c>
      <c r="D328" s="255">
        <v>1</v>
      </c>
      <c r="E328" s="255">
        <f>24.54-3</f>
        <v>21.54</v>
      </c>
      <c r="F328" s="255"/>
      <c r="G328" s="255"/>
      <c r="H328" s="311">
        <f t="shared" si="47"/>
        <v>21.54</v>
      </c>
      <c r="I328" s="255">
        <f t="shared" si="48"/>
        <v>21.54</v>
      </c>
      <c r="J328" s="267"/>
      <c r="K328" s="269"/>
      <c r="L328" s="269"/>
      <c r="M328" s="273"/>
    </row>
    <row r="329" spans="1:14" s="271" customFormat="1" ht="12.75" x14ac:dyDescent="0.25">
      <c r="A329" s="266"/>
      <c r="B329" s="269" t="s">
        <v>549</v>
      </c>
      <c r="C329" s="269" t="s">
        <v>395</v>
      </c>
      <c r="D329" s="255">
        <v>1</v>
      </c>
      <c r="E329" s="255">
        <f>97.49-29.33-29.33-2.83-2.83-3</f>
        <v>30.17</v>
      </c>
      <c r="F329" s="255"/>
      <c r="G329" s="255"/>
      <c r="H329" s="311">
        <f t="shared" si="47"/>
        <v>30.17</v>
      </c>
      <c r="I329" s="255">
        <f t="shared" si="48"/>
        <v>30.17</v>
      </c>
      <c r="J329" s="267"/>
      <c r="K329" s="269"/>
      <c r="L329" s="269"/>
      <c r="M329" s="273"/>
    </row>
    <row r="330" spans="1:14" s="271" customFormat="1" ht="12.75" x14ac:dyDescent="0.25">
      <c r="A330" s="266"/>
      <c r="B330" s="269" t="s">
        <v>549</v>
      </c>
      <c r="C330" s="269" t="s">
        <v>396</v>
      </c>
      <c r="D330" s="255">
        <v>1</v>
      </c>
      <c r="E330" s="255">
        <f>41.69-(3*3)</f>
        <v>32.69</v>
      </c>
      <c r="F330" s="255"/>
      <c r="G330" s="255"/>
      <c r="H330" s="255">
        <f t="shared" si="47"/>
        <v>32.69</v>
      </c>
      <c r="I330" s="255">
        <f t="shared" si="48"/>
        <v>32.69</v>
      </c>
      <c r="J330" s="267"/>
      <c r="K330" s="269"/>
      <c r="L330" s="269"/>
      <c r="M330" s="273"/>
    </row>
    <row r="331" spans="1:14" s="271" customFormat="1" ht="12.75" x14ac:dyDescent="0.25">
      <c r="A331" s="266"/>
      <c r="B331" s="269" t="s">
        <v>549</v>
      </c>
      <c r="C331" s="269" t="s">
        <v>397</v>
      </c>
      <c r="D331" s="255">
        <v>1</v>
      </c>
      <c r="E331" s="255">
        <f>70.98-3</f>
        <v>67.98</v>
      </c>
      <c r="F331" s="255"/>
      <c r="G331" s="255"/>
      <c r="H331" s="255">
        <f t="shared" si="47"/>
        <v>67.98</v>
      </c>
      <c r="I331" s="255">
        <f t="shared" si="48"/>
        <v>67.98</v>
      </c>
      <c r="J331" s="267"/>
      <c r="K331" s="269"/>
      <c r="L331" s="269"/>
      <c r="M331" s="273"/>
    </row>
    <row r="332" spans="1:14" s="271" customFormat="1" ht="12.75" x14ac:dyDescent="0.25">
      <c r="A332" s="266"/>
      <c r="B332" s="269" t="s">
        <v>549</v>
      </c>
      <c r="C332" s="269" t="s">
        <v>398</v>
      </c>
      <c r="D332" s="255">
        <v>1</v>
      </c>
      <c r="E332" s="255">
        <v>10.6</v>
      </c>
      <c r="F332" s="255"/>
      <c r="G332" s="255"/>
      <c r="H332" s="255">
        <f t="shared" si="47"/>
        <v>10.6</v>
      </c>
      <c r="I332" s="255">
        <f t="shared" si="48"/>
        <v>10.6</v>
      </c>
      <c r="J332" s="267"/>
      <c r="K332" s="269"/>
      <c r="L332" s="269"/>
      <c r="M332" s="273"/>
    </row>
    <row r="333" spans="1:14" s="271" customFormat="1" ht="12.75" x14ac:dyDescent="0.25">
      <c r="A333" s="266"/>
      <c r="B333" s="269"/>
      <c r="C333" s="269"/>
      <c r="D333" s="255"/>
      <c r="E333" s="255"/>
      <c r="F333" s="255"/>
      <c r="G333" s="255"/>
      <c r="H333" s="255"/>
      <c r="I333" s="255"/>
      <c r="J333" s="267"/>
      <c r="K333" s="269"/>
      <c r="L333" s="269"/>
      <c r="M333" s="273"/>
    </row>
    <row r="334" spans="1:14" s="272" customFormat="1" ht="12.75" x14ac:dyDescent="0.25">
      <c r="A334" s="279">
        <f>A307+1</f>
        <v>1</v>
      </c>
      <c r="B334" s="280" t="s">
        <v>554</v>
      </c>
      <c r="C334" s="281"/>
      <c r="D334" s="279"/>
      <c r="E334" s="282"/>
      <c r="F334" s="282"/>
      <c r="G334" s="282"/>
      <c r="H334" s="282"/>
      <c r="I334" s="282">
        <f>SUM(H335:H336)</f>
        <v>129.60000000000002</v>
      </c>
      <c r="J334" s="279" t="s">
        <v>141</v>
      </c>
      <c r="K334" s="281"/>
      <c r="L334" s="281"/>
      <c r="M334" s="306"/>
    </row>
    <row r="335" spans="1:14" s="271" customFormat="1" ht="12.75" x14ac:dyDescent="0.25">
      <c r="A335" s="266"/>
      <c r="B335" s="269" t="s">
        <v>554</v>
      </c>
      <c r="C335" s="269"/>
      <c r="D335" s="255">
        <v>1</v>
      </c>
      <c r="E335" s="255">
        <v>43.2</v>
      </c>
      <c r="F335" s="255"/>
      <c r="G335" s="255">
        <v>3</v>
      </c>
      <c r="H335" s="255">
        <f>PRODUCT(D335:G335)</f>
        <v>129.60000000000002</v>
      </c>
      <c r="I335" s="255"/>
      <c r="J335" s="267"/>
      <c r="K335" s="269"/>
      <c r="L335" s="269"/>
      <c r="M335" s="273"/>
    </row>
    <row r="336" spans="1:14" s="271" customFormat="1" ht="12.75" x14ac:dyDescent="0.25">
      <c r="A336" s="266"/>
      <c r="B336" s="269"/>
      <c r="C336" s="269"/>
      <c r="D336" s="255"/>
      <c r="E336" s="255"/>
      <c r="F336" s="255"/>
      <c r="G336" s="255"/>
      <c r="H336" s="255"/>
      <c r="I336" s="255"/>
      <c r="J336" s="267"/>
      <c r="K336" s="269"/>
      <c r="L336" s="269"/>
      <c r="M336" s="273"/>
    </row>
    <row r="337" spans="1:14" s="272" customFormat="1" ht="12.75" x14ac:dyDescent="0.25">
      <c r="A337" s="279"/>
      <c r="B337" s="280" t="s">
        <v>524</v>
      </c>
      <c r="C337" s="281"/>
      <c r="D337" s="279"/>
      <c r="E337" s="282"/>
      <c r="F337" s="282"/>
      <c r="G337" s="331"/>
      <c r="H337" s="282"/>
      <c r="I337" s="282">
        <f>SUM(H338:H346)</f>
        <v>4239.5</v>
      </c>
      <c r="J337" s="282" t="s">
        <v>141</v>
      </c>
      <c r="K337" s="281"/>
      <c r="L337" s="281"/>
      <c r="M337" s="306"/>
    </row>
    <row r="338" spans="1:14" s="290" customFormat="1" ht="12.75" x14ac:dyDescent="0.25">
      <c r="A338" s="286"/>
      <c r="B338" s="254"/>
      <c r="C338" s="269" t="s">
        <v>391</v>
      </c>
      <c r="D338" s="255">
        <v>1</v>
      </c>
      <c r="E338" s="547">
        <v>3006.73</v>
      </c>
      <c r="F338" s="548"/>
      <c r="G338" s="335"/>
      <c r="H338" s="268">
        <f t="shared" ref="H338:H346" si="49">PRODUCT(D338:G338)</f>
        <v>3006.73</v>
      </c>
      <c r="I338" s="268"/>
      <c r="J338" s="255"/>
      <c r="K338" s="245"/>
      <c r="L338" s="245"/>
      <c r="M338" s="288"/>
      <c r="N338" s="289"/>
    </row>
    <row r="339" spans="1:14" s="290" customFormat="1" ht="12.75" x14ac:dyDescent="0.25">
      <c r="A339" s="286"/>
      <c r="B339" s="254"/>
      <c r="C339" s="269" t="s">
        <v>392</v>
      </c>
      <c r="D339" s="255">
        <v>1</v>
      </c>
      <c r="E339" s="547">
        <v>153.41</v>
      </c>
      <c r="F339" s="548"/>
      <c r="G339" s="335"/>
      <c r="H339" s="268">
        <f t="shared" si="49"/>
        <v>153.41</v>
      </c>
      <c r="I339" s="268"/>
      <c r="J339" s="255"/>
      <c r="K339" s="245"/>
      <c r="L339" s="245"/>
      <c r="M339" s="288"/>
      <c r="N339" s="289"/>
    </row>
    <row r="340" spans="1:14" s="290" customFormat="1" ht="12.75" x14ac:dyDescent="0.25">
      <c r="A340" s="286"/>
      <c r="B340" s="254"/>
      <c r="C340" s="269" t="s">
        <v>393</v>
      </c>
      <c r="D340" s="255">
        <v>1</v>
      </c>
      <c r="E340" s="547">
        <v>152.63</v>
      </c>
      <c r="F340" s="548"/>
      <c r="G340" s="335"/>
      <c r="H340" s="268">
        <f t="shared" si="49"/>
        <v>152.63</v>
      </c>
      <c r="I340" s="255"/>
      <c r="J340" s="255"/>
      <c r="K340" s="245"/>
      <c r="L340" s="245"/>
      <c r="M340" s="288"/>
      <c r="N340" s="289"/>
    </row>
    <row r="341" spans="1:14" s="290" customFormat="1" ht="12.75" x14ac:dyDescent="0.25">
      <c r="A341" s="286"/>
      <c r="B341" s="254"/>
      <c r="C341" s="269" t="s">
        <v>394</v>
      </c>
      <c r="D341" s="255">
        <v>1</v>
      </c>
      <c r="E341" s="547">
        <v>36.26</v>
      </c>
      <c r="F341" s="548"/>
      <c r="G341" s="335"/>
      <c r="H341" s="268">
        <f t="shared" si="49"/>
        <v>36.26</v>
      </c>
      <c r="I341" s="255"/>
      <c r="J341" s="255"/>
      <c r="K341" s="245"/>
      <c r="L341" s="245"/>
      <c r="M341" s="288"/>
      <c r="N341" s="289"/>
    </row>
    <row r="342" spans="1:14" s="290" customFormat="1" ht="12.75" x14ac:dyDescent="0.25">
      <c r="A342" s="286"/>
      <c r="B342" s="254"/>
      <c r="C342" s="269" t="s">
        <v>395</v>
      </c>
      <c r="D342" s="255">
        <v>1</v>
      </c>
      <c r="E342" s="547">
        <v>568.33000000000004</v>
      </c>
      <c r="F342" s="548"/>
      <c r="G342" s="335"/>
      <c r="H342" s="268">
        <f t="shared" si="49"/>
        <v>568.33000000000004</v>
      </c>
      <c r="I342" s="255"/>
      <c r="J342" s="255"/>
      <c r="K342" s="245"/>
      <c r="L342" s="245"/>
      <c r="M342" s="288"/>
      <c r="N342" s="289"/>
    </row>
    <row r="343" spans="1:14" s="290" customFormat="1" ht="12.75" x14ac:dyDescent="0.25">
      <c r="A343" s="286"/>
      <c r="B343" s="254"/>
      <c r="C343" s="269" t="s">
        <v>396</v>
      </c>
      <c r="D343" s="255">
        <v>1</v>
      </c>
      <c r="E343" s="547">
        <v>106.26</v>
      </c>
      <c r="F343" s="548"/>
      <c r="G343" s="275"/>
      <c r="H343" s="268">
        <f t="shared" si="49"/>
        <v>106.26</v>
      </c>
      <c r="I343" s="255"/>
      <c r="J343" s="255"/>
      <c r="K343" s="245"/>
      <c r="L343" s="245"/>
      <c r="M343" s="288"/>
      <c r="N343" s="289"/>
    </row>
    <row r="344" spans="1:14" s="290" customFormat="1" ht="12.75" x14ac:dyDescent="0.25">
      <c r="A344" s="286"/>
      <c r="B344" s="254"/>
      <c r="C344" s="269" t="s">
        <v>397</v>
      </c>
      <c r="D344" s="255">
        <v>1</v>
      </c>
      <c r="E344" s="547">
        <v>195.49</v>
      </c>
      <c r="F344" s="548"/>
      <c r="G344" s="275"/>
      <c r="H344" s="268">
        <f t="shared" si="49"/>
        <v>195.49</v>
      </c>
      <c r="I344" s="255"/>
      <c r="J344" s="255"/>
      <c r="K344" s="245"/>
      <c r="L344" s="245"/>
      <c r="M344" s="288"/>
      <c r="N344" s="289"/>
    </row>
    <row r="345" spans="1:14" s="290" customFormat="1" ht="12.75" x14ac:dyDescent="0.25">
      <c r="A345" s="286"/>
      <c r="B345" s="254"/>
      <c r="C345" s="269" t="s">
        <v>398</v>
      </c>
      <c r="D345" s="255">
        <v>1</v>
      </c>
      <c r="E345" s="547">
        <v>10.24</v>
      </c>
      <c r="F345" s="548"/>
      <c r="G345" s="275"/>
      <c r="H345" s="268">
        <f t="shared" si="49"/>
        <v>10.24</v>
      </c>
      <c r="I345" s="255"/>
      <c r="J345" s="255"/>
      <c r="K345" s="245"/>
      <c r="L345" s="245"/>
      <c r="M345" s="288"/>
      <c r="N345" s="289"/>
    </row>
    <row r="346" spans="1:14" s="290" customFormat="1" ht="12.75" x14ac:dyDescent="0.25">
      <c r="A346" s="286"/>
      <c r="B346" s="254"/>
      <c r="C346" s="269" t="s">
        <v>399</v>
      </c>
      <c r="D346" s="255">
        <v>1</v>
      </c>
      <c r="E346" s="547">
        <v>10.15</v>
      </c>
      <c r="F346" s="548"/>
      <c r="G346" s="275"/>
      <c r="H346" s="268">
        <f t="shared" si="49"/>
        <v>10.15</v>
      </c>
      <c r="I346" s="255"/>
      <c r="J346" s="255"/>
      <c r="K346" s="245"/>
      <c r="L346" s="245"/>
      <c r="M346" s="288"/>
      <c r="N346" s="289"/>
    </row>
    <row r="347" spans="1:14" s="272" customFormat="1" ht="12.75" x14ac:dyDescent="0.25">
      <c r="A347" s="279"/>
      <c r="B347" s="280" t="s">
        <v>492</v>
      </c>
      <c r="C347" s="281"/>
      <c r="D347" s="279"/>
      <c r="E347" s="282"/>
      <c r="F347" s="282"/>
      <c r="G347" s="331"/>
      <c r="H347" s="282"/>
      <c r="I347" s="282"/>
      <c r="J347" s="279"/>
      <c r="K347" s="281"/>
      <c r="L347" s="281"/>
      <c r="M347" s="306"/>
    </row>
    <row r="348" spans="1:14" s="271" customFormat="1" ht="12.75" x14ac:dyDescent="0.25">
      <c r="A348" s="277"/>
      <c r="B348" s="277" t="s">
        <v>493</v>
      </c>
      <c r="C348" s="277"/>
      <c r="D348" s="284"/>
      <c r="E348" s="284"/>
      <c r="F348" s="284"/>
      <c r="G348" s="327"/>
      <c r="H348" s="284"/>
      <c r="I348" s="307">
        <f>SUM(H349:H356)</f>
        <v>2813.4055999999996</v>
      </c>
      <c r="J348" s="308" t="s">
        <v>141</v>
      </c>
      <c r="K348" s="277"/>
      <c r="L348" s="277"/>
      <c r="M348" s="309"/>
    </row>
    <row r="349" spans="1:14" s="271" customFormat="1" ht="12.75" x14ac:dyDescent="0.25">
      <c r="A349" s="266"/>
      <c r="B349" s="269"/>
      <c r="C349" s="269" t="s">
        <v>525</v>
      </c>
      <c r="D349" s="255">
        <v>1</v>
      </c>
      <c r="E349" s="255">
        <v>137.94999999999999</v>
      </c>
      <c r="F349" s="268"/>
      <c r="G349" s="322">
        <f>10+8/12+8/12</f>
        <v>11.333333333333332</v>
      </c>
      <c r="H349" s="255">
        <f t="shared" ref="H349:H354" si="50">PRODUCT(D349:G349)</f>
        <v>1563.4333333333329</v>
      </c>
      <c r="I349" s="255"/>
      <c r="J349" s="267"/>
      <c r="K349" s="269"/>
      <c r="L349" s="310"/>
      <c r="M349" s="301"/>
    </row>
    <row r="350" spans="1:14" s="271" customFormat="1" ht="12.75" x14ac:dyDescent="0.25">
      <c r="A350" s="266"/>
      <c r="B350" s="269"/>
      <c r="C350" s="269" t="s">
        <v>526</v>
      </c>
      <c r="D350" s="255">
        <v>1</v>
      </c>
      <c r="E350" s="268">
        <v>128.51</v>
      </c>
      <c r="F350" s="268"/>
      <c r="G350" s="322">
        <f>10+8/12+8/12</f>
        <v>11.333333333333332</v>
      </c>
      <c r="H350" s="311">
        <f t="shared" si="50"/>
        <v>1456.4466666666665</v>
      </c>
      <c r="I350" s="255"/>
      <c r="J350" s="267"/>
      <c r="K350" s="269"/>
      <c r="L350" s="310"/>
      <c r="M350" s="301"/>
    </row>
    <row r="351" spans="1:14" s="290" customFormat="1" ht="12.75" x14ac:dyDescent="0.25">
      <c r="A351" s="286"/>
      <c r="B351" s="245" t="s">
        <v>430</v>
      </c>
      <c r="C351" s="245"/>
      <c r="D351" s="275">
        <v>-3</v>
      </c>
      <c r="E351" s="275">
        <v>3</v>
      </c>
      <c r="F351" s="275"/>
      <c r="G351" s="329">
        <v>3.5</v>
      </c>
      <c r="H351" s="275">
        <f t="shared" si="50"/>
        <v>-31.5</v>
      </c>
      <c r="I351" s="275">
        <f>PRODUCT(H351:H351)/27</f>
        <v>-1.1666666666666667</v>
      </c>
      <c r="J351" s="286"/>
      <c r="K351" s="245"/>
      <c r="L351" s="245"/>
      <c r="M351" s="288"/>
      <c r="N351" s="289"/>
    </row>
    <row r="352" spans="1:14" s="290" customFormat="1" ht="12.75" x14ac:dyDescent="0.25">
      <c r="A352" s="286"/>
      <c r="B352" s="245" t="s">
        <v>439</v>
      </c>
      <c r="C352" s="245"/>
      <c r="D352" s="275">
        <v>-1</v>
      </c>
      <c r="E352" s="275">
        <v>9</v>
      </c>
      <c r="F352" s="275"/>
      <c r="G352" s="329">
        <f>7.08</f>
        <v>7.08</v>
      </c>
      <c r="H352" s="275">
        <f t="shared" si="50"/>
        <v>-63.72</v>
      </c>
      <c r="I352" s="275">
        <f>PRODUCT(H352:H352)/27</f>
        <v>-2.36</v>
      </c>
      <c r="J352" s="286"/>
      <c r="K352" s="245"/>
      <c r="L352" s="245"/>
      <c r="M352" s="288"/>
      <c r="N352" s="289"/>
    </row>
    <row r="353" spans="1:14" s="290" customFormat="1" ht="12.75" x14ac:dyDescent="0.25">
      <c r="A353" s="286"/>
      <c r="B353" s="245" t="s">
        <v>440</v>
      </c>
      <c r="C353" s="245"/>
      <c r="D353" s="275">
        <v>-7</v>
      </c>
      <c r="E353" s="275">
        <v>1.5</v>
      </c>
      <c r="F353" s="275"/>
      <c r="G353" s="329">
        <v>1.5</v>
      </c>
      <c r="H353" s="275">
        <f t="shared" si="50"/>
        <v>-15.75</v>
      </c>
      <c r="I353" s="275">
        <f>PRODUCT(H353:H353)/27</f>
        <v>-0.58333333333333337</v>
      </c>
      <c r="J353" s="286"/>
      <c r="K353" s="245"/>
      <c r="L353" s="245"/>
      <c r="M353" s="288"/>
      <c r="N353" s="289"/>
    </row>
    <row r="354" spans="1:14" s="290" customFormat="1" ht="12.75" x14ac:dyDescent="0.25">
      <c r="A354" s="286"/>
      <c r="B354" s="245" t="s">
        <v>438</v>
      </c>
      <c r="C354" s="245"/>
      <c r="D354" s="275">
        <v>-4</v>
      </c>
      <c r="E354" s="275">
        <v>3.33</v>
      </c>
      <c r="F354" s="275"/>
      <c r="G354" s="329">
        <v>7.17</v>
      </c>
      <c r="H354" s="275">
        <f t="shared" si="50"/>
        <v>-95.504400000000004</v>
      </c>
      <c r="I354" s="275">
        <f>PRODUCT(H354:H354)/27</f>
        <v>-3.5372000000000003</v>
      </c>
      <c r="J354" s="286"/>
      <c r="K354" s="245"/>
      <c r="L354" s="245"/>
      <c r="M354" s="288"/>
      <c r="N354" s="289"/>
    </row>
    <row r="355" spans="1:14" s="271" customFormat="1" ht="12.75" x14ac:dyDescent="0.25">
      <c r="A355" s="266"/>
      <c r="B355" s="269"/>
      <c r="C355" s="269"/>
      <c r="D355" s="255"/>
      <c r="E355" s="268"/>
      <c r="F355" s="268"/>
      <c r="G355" s="322"/>
      <c r="H355" s="311"/>
      <c r="I355" s="255"/>
      <c r="J355" s="267"/>
      <c r="K355" s="269"/>
      <c r="L355" s="310"/>
      <c r="M355" s="301"/>
    </row>
    <row r="356" spans="1:14" s="271" customFormat="1" ht="12.75" x14ac:dyDescent="0.25">
      <c r="A356" s="266"/>
      <c r="B356" s="269"/>
      <c r="C356" s="269"/>
      <c r="D356" s="255"/>
      <c r="E356" s="255"/>
      <c r="F356" s="255"/>
      <c r="G356" s="322"/>
      <c r="H356" s="311"/>
      <c r="I356" s="255"/>
      <c r="J356" s="267"/>
      <c r="K356" s="269"/>
      <c r="L356" s="310"/>
      <c r="M356" s="301"/>
    </row>
    <row r="357" spans="1:14" s="271" customFormat="1" ht="12.75" x14ac:dyDescent="0.25">
      <c r="A357" s="277"/>
      <c r="B357" s="277" t="s">
        <v>527</v>
      </c>
      <c r="C357" s="277"/>
      <c r="D357" s="284">
        <v>1</v>
      </c>
      <c r="E357" s="284"/>
      <c r="F357" s="284"/>
      <c r="G357" s="327">
        <f>10+8/12+8/12</f>
        <v>11.333333333333332</v>
      </c>
      <c r="H357" s="284">
        <f t="shared" ref="H357:H367" si="51">PRODUCT(D357:G357)</f>
        <v>11.333333333333332</v>
      </c>
      <c r="I357" s="307">
        <f>SUM(H358:H368)</f>
        <v>2850.09</v>
      </c>
      <c r="J357" s="308" t="s">
        <v>141</v>
      </c>
      <c r="K357" s="277"/>
      <c r="L357" s="277"/>
      <c r="M357" s="309"/>
    </row>
    <row r="358" spans="1:14" s="271" customFormat="1" ht="12.75" x14ac:dyDescent="0.25">
      <c r="A358" s="266"/>
      <c r="B358" s="269"/>
      <c r="C358" s="269" t="s">
        <v>525</v>
      </c>
      <c r="D358" s="255">
        <v>1</v>
      </c>
      <c r="E358" s="255">
        <v>131.51</v>
      </c>
      <c r="F358" s="268"/>
      <c r="G358" s="322">
        <v>10</v>
      </c>
      <c r="H358" s="255">
        <f t="shared" si="51"/>
        <v>1315.1</v>
      </c>
      <c r="I358" s="255"/>
      <c r="J358" s="267"/>
      <c r="K358" s="269"/>
      <c r="L358" s="310"/>
      <c r="M358" s="301"/>
    </row>
    <row r="359" spans="1:14" s="271" customFormat="1" ht="12.75" x14ac:dyDescent="0.25">
      <c r="A359" s="266"/>
      <c r="B359" s="269"/>
      <c r="C359" s="269" t="s">
        <v>528</v>
      </c>
      <c r="D359" s="255">
        <v>1</v>
      </c>
      <c r="E359" s="255">
        <f>20+19.79</f>
        <v>39.79</v>
      </c>
      <c r="F359" s="255"/>
      <c r="G359" s="322">
        <v>10</v>
      </c>
      <c r="H359" s="255">
        <f t="shared" si="51"/>
        <v>397.9</v>
      </c>
      <c r="I359" s="255"/>
      <c r="J359" s="267"/>
      <c r="K359" s="269"/>
      <c r="L359" s="310"/>
      <c r="M359" s="301"/>
    </row>
    <row r="360" spans="1:14" s="271" customFormat="1" ht="12.75" x14ac:dyDescent="0.25">
      <c r="A360" s="266"/>
      <c r="B360" s="269"/>
      <c r="C360" s="247" t="s">
        <v>312</v>
      </c>
      <c r="D360" s="255">
        <v>-1</v>
      </c>
      <c r="E360" s="255">
        <v>2.83</v>
      </c>
      <c r="F360" s="255"/>
      <c r="G360" s="322">
        <v>7</v>
      </c>
      <c r="H360" s="255">
        <f t="shared" si="51"/>
        <v>-19.810000000000002</v>
      </c>
      <c r="I360" s="255"/>
      <c r="J360" s="267"/>
      <c r="K360" s="269"/>
      <c r="L360" s="310"/>
      <c r="M360" s="301"/>
    </row>
    <row r="361" spans="1:14" s="271" customFormat="1" ht="12.75" x14ac:dyDescent="0.25">
      <c r="A361" s="266"/>
      <c r="B361" s="269"/>
      <c r="C361" s="247" t="s">
        <v>312</v>
      </c>
      <c r="D361" s="255">
        <v>-1</v>
      </c>
      <c r="E361" s="255">
        <v>3</v>
      </c>
      <c r="F361" s="255"/>
      <c r="G361" s="322">
        <v>8</v>
      </c>
      <c r="H361" s="255">
        <f t="shared" si="51"/>
        <v>-24</v>
      </c>
      <c r="I361" s="255"/>
      <c r="J361" s="267"/>
      <c r="K361" s="269"/>
      <c r="L361" s="310"/>
      <c r="M361" s="301"/>
    </row>
    <row r="362" spans="1:14" s="271" customFormat="1" ht="12.75" x14ac:dyDescent="0.25">
      <c r="A362" s="266"/>
      <c r="B362" s="269"/>
      <c r="C362" s="269" t="s">
        <v>396</v>
      </c>
      <c r="D362" s="255">
        <v>1</v>
      </c>
      <c r="E362" s="255">
        <v>32.96</v>
      </c>
      <c r="F362" s="255"/>
      <c r="G362" s="322">
        <v>10</v>
      </c>
      <c r="H362" s="255">
        <f t="shared" si="51"/>
        <v>329.6</v>
      </c>
      <c r="I362" s="255"/>
      <c r="J362" s="267"/>
      <c r="K362" s="269"/>
      <c r="L362" s="310"/>
      <c r="M362" s="301"/>
    </row>
    <row r="363" spans="1:14" s="271" customFormat="1" ht="12.75" x14ac:dyDescent="0.25">
      <c r="A363" s="266"/>
      <c r="B363" s="269"/>
      <c r="C363" s="247" t="s">
        <v>312</v>
      </c>
      <c r="D363" s="255">
        <v>-1</v>
      </c>
      <c r="E363" s="255">
        <v>3</v>
      </c>
      <c r="F363" s="255"/>
      <c r="G363" s="322">
        <v>8</v>
      </c>
      <c r="H363" s="255">
        <f t="shared" si="51"/>
        <v>-24</v>
      </c>
      <c r="I363" s="255"/>
      <c r="J363" s="267"/>
      <c r="K363" s="269"/>
      <c r="L363" s="310"/>
      <c r="M363" s="301"/>
    </row>
    <row r="364" spans="1:14" s="271" customFormat="1" ht="12.75" x14ac:dyDescent="0.25">
      <c r="A364" s="266"/>
      <c r="B364" s="269"/>
      <c r="C364" s="269" t="s">
        <v>397</v>
      </c>
      <c r="D364" s="255">
        <v>1</v>
      </c>
      <c r="E364" s="268">
        <v>70.98</v>
      </c>
      <c r="F364" s="268"/>
      <c r="G364" s="322">
        <v>10</v>
      </c>
      <c r="H364" s="311">
        <f t="shared" si="51"/>
        <v>709.80000000000007</v>
      </c>
      <c r="I364" s="255"/>
      <c r="J364" s="267"/>
      <c r="K364" s="269"/>
      <c r="L364" s="310"/>
      <c r="M364" s="301"/>
    </row>
    <row r="365" spans="1:14" s="271" customFormat="1" ht="12.75" x14ac:dyDescent="0.25">
      <c r="A365" s="266"/>
      <c r="B365" s="269"/>
      <c r="C365" s="247" t="s">
        <v>312</v>
      </c>
      <c r="D365" s="255">
        <v>-0.5</v>
      </c>
      <c r="E365" s="255">
        <v>3</v>
      </c>
      <c r="F365" s="255"/>
      <c r="G365" s="322">
        <v>8</v>
      </c>
      <c r="H365" s="255">
        <f t="shared" si="51"/>
        <v>-12</v>
      </c>
      <c r="I365" s="255"/>
      <c r="J365" s="267"/>
      <c r="K365" s="269"/>
      <c r="L365" s="310"/>
      <c r="M365" s="301"/>
    </row>
    <row r="366" spans="1:14" s="271" customFormat="1" ht="12.75" x14ac:dyDescent="0.25">
      <c r="A366" s="266"/>
      <c r="B366" s="269"/>
      <c r="C366" s="269" t="s">
        <v>398</v>
      </c>
      <c r="D366" s="255">
        <v>1</v>
      </c>
      <c r="E366" s="255">
        <v>8.59</v>
      </c>
      <c r="F366" s="255"/>
      <c r="G366" s="322">
        <v>10</v>
      </c>
      <c r="H366" s="255">
        <f t="shared" si="51"/>
        <v>85.9</v>
      </c>
      <c r="I366" s="255"/>
      <c r="J366" s="267"/>
      <c r="K366" s="269"/>
      <c r="L366" s="269"/>
      <c r="M366" s="273"/>
      <c r="N366" s="274"/>
    </row>
    <row r="367" spans="1:14" s="290" customFormat="1" ht="12.75" x14ac:dyDescent="0.25">
      <c r="A367" s="286"/>
      <c r="B367" s="245"/>
      <c r="C367" s="269" t="s">
        <v>394</v>
      </c>
      <c r="D367" s="255">
        <v>1</v>
      </c>
      <c r="E367" s="255">
        <v>9.16</v>
      </c>
      <c r="F367" s="255"/>
      <c r="G367" s="322">
        <v>10</v>
      </c>
      <c r="H367" s="311">
        <f t="shared" si="51"/>
        <v>91.6</v>
      </c>
      <c r="I367" s="255"/>
      <c r="J367" s="267"/>
      <c r="K367" s="245"/>
      <c r="L367" s="245"/>
      <c r="M367" s="288"/>
      <c r="N367" s="289"/>
    </row>
    <row r="368" spans="1:14" s="290" customFormat="1" ht="12.75" x14ac:dyDescent="0.25">
      <c r="A368" s="286"/>
      <c r="B368" s="245"/>
      <c r="C368" s="245"/>
      <c r="D368" s="275"/>
      <c r="E368" s="268"/>
      <c r="F368" s="275"/>
      <c r="G368" s="329"/>
      <c r="H368" s="275"/>
      <c r="I368" s="275"/>
      <c r="J368" s="286"/>
      <c r="K368" s="245"/>
      <c r="L368" s="245"/>
      <c r="M368" s="288"/>
      <c r="N368" s="289"/>
    </row>
    <row r="369" spans="1:14" s="271" customFormat="1" ht="12.75" x14ac:dyDescent="0.25">
      <c r="A369" s="277"/>
      <c r="B369" s="277" t="s">
        <v>524</v>
      </c>
      <c r="C369" s="277"/>
      <c r="D369" s="284"/>
      <c r="E369" s="284"/>
      <c r="F369" s="284"/>
      <c r="G369" s="327"/>
      <c r="H369" s="284"/>
      <c r="I369" s="307">
        <f>SUM(H370:H378)</f>
        <v>4239.5</v>
      </c>
      <c r="J369" s="308" t="s">
        <v>141</v>
      </c>
      <c r="K369" s="277"/>
      <c r="L369" s="277"/>
      <c r="M369" s="309"/>
    </row>
    <row r="370" spans="1:14" s="290" customFormat="1" ht="12.75" x14ac:dyDescent="0.25">
      <c r="A370" s="286"/>
      <c r="B370" s="254"/>
      <c r="C370" s="269" t="s">
        <v>391</v>
      </c>
      <c r="D370" s="255">
        <v>1</v>
      </c>
      <c r="E370" s="547">
        <v>3006.73</v>
      </c>
      <c r="F370" s="548"/>
      <c r="G370" s="335"/>
      <c r="H370" s="268">
        <f t="shared" ref="H370:H378" si="52">PRODUCT(D370:G370)</f>
        <v>3006.73</v>
      </c>
      <c r="I370" s="268"/>
      <c r="J370" s="255"/>
      <c r="K370" s="245"/>
      <c r="L370" s="245"/>
      <c r="M370" s="288"/>
      <c r="N370" s="289"/>
    </row>
    <row r="371" spans="1:14" s="290" customFormat="1" ht="12.75" x14ac:dyDescent="0.25">
      <c r="A371" s="286"/>
      <c r="B371" s="254"/>
      <c r="C371" s="269" t="s">
        <v>392</v>
      </c>
      <c r="D371" s="255">
        <v>1</v>
      </c>
      <c r="E371" s="547">
        <v>153.41</v>
      </c>
      <c r="F371" s="548"/>
      <c r="G371" s="335"/>
      <c r="H371" s="268">
        <f t="shared" si="52"/>
        <v>153.41</v>
      </c>
      <c r="I371" s="268"/>
      <c r="J371" s="255"/>
      <c r="K371" s="245"/>
      <c r="L371" s="245"/>
      <c r="M371" s="288"/>
      <c r="N371" s="289"/>
    </row>
    <row r="372" spans="1:14" s="290" customFormat="1" ht="12.75" x14ac:dyDescent="0.25">
      <c r="A372" s="286"/>
      <c r="B372" s="254"/>
      <c r="C372" s="269" t="s">
        <v>393</v>
      </c>
      <c r="D372" s="255">
        <v>1</v>
      </c>
      <c r="E372" s="547">
        <v>152.63</v>
      </c>
      <c r="F372" s="548"/>
      <c r="G372" s="335"/>
      <c r="H372" s="268">
        <f t="shared" si="52"/>
        <v>152.63</v>
      </c>
      <c r="I372" s="255"/>
      <c r="J372" s="255"/>
      <c r="K372" s="245"/>
      <c r="L372" s="245"/>
      <c r="M372" s="288"/>
      <c r="N372" s="289"/>
    </row>
    <row r="373" spans="1:14" s="290" customFormat="1" ht="12.75" x14ac:dyDescent="0.25">
      <c r="A373" s="286"/>
      <c r="B373" s="254"/>
      <c r="C373" s="269" t="s">
        <v>394</v>
      </c>
      <c r="D373" s="255">
        <v>1</v>
      </c>
      <c r="E373" s="547">
        <v>36.26</v>
      </c>
      <c r="F373" s="548"/>
      <c r="G373" s="335"/>
      <c r="H373" s="268">
        <f t="shared" si="52"/>
        <v>36.26</v>
      </c>
      <c r="I373" s="255"/>
      <c r="J373" s="255"/>
      <c r="K373" s="245"/>
      <c r="L373" s="245"/>
      <c r="M373" s="288"/>
      <c r="N373" s="289"/>
    </row>
    <row r="374" spans="1:14" s="290" customFormat="1" ht="12.75" x14ac:dyDescent="0.25">
      <c r="A374" s="286"/>
      <c r="B374" s="254"/>
      <c r="C374" s="269" t="s">
        <v>395</v>
      </c>
      <c r="D374" s="255">
        <v>1</v>
      </c>
      <c r="E374" s="547">
        <v>568.33000000000004</v>
      </c>
      <c r="F374" s="548"/>
      <c r="G374" s="335"/>
      <c r="H374" s="268">
        <f t="shared" si="52"/>
        <v>568.33000000000004</v>
      </c>
      <c r="I374" s="255"/>
      <c r="J374" s="255"/>
      <c r="K374" s="245"/>
      <c r="L374" s="245"/>
      <c r="M374" s="288"/>
      <c r="N374" s="289"/>
    </row>
    <row r="375" spans="1:14" s="290" customFormat="1" ht="12.75" x14ac:dyDescent="0.25">
      <c r="A375" s="286"/>
      <c r="B375" s="254"/>
      <c r="C375" s="269" t="s">
        <v>396</v>
      </c>
      <c r="D375" s="255">
        <v>1</v>
      </c>
      <c r="E375" s="547">
        <v>106.26</v>
      </c>
      <c r="F375" s="548"/>
      <c r="G375" s="275"/>
      <c r="H375" s="268">
        <f t="shared" si="52"/>
        <v>106.26</v>
      </c>
      <c r="I375" s="255"/>
      <c r="J375" s="255"/>
      <c r="K375" s="245"/>
      <c r="L375" s="245"/>
      <c r="M375" s="288"/>
      <c r="N375" s="289"/>
    </row>
    <row r="376" spans="1:14" s="290" customFormat="1" ht="12.75" x14ac:dyDescent="0.25">
      <c r="A376" s="286"/>
      <c r="B376" s="254"/>
      <c r="C376" s="269" t="s">
        <v>397</v>
      </c>
      <c r="D376" s="255">
        <v>1</v>
      </c>
      <c r="E376" s="547">
        <v>195.49</v>
      </c>
      <c r="F376" s="548"/>
      <c r="G376" s="275"/>
      <c r="H376" s="268">
        <f t="shared" si="52"/>
        <v>195.49</v>
      </c>
      <c r="I376" s="255"/>
      <c r="J376" s="255"/>
      <c r="K376" s="245"/>
      <c r="L376" s="245"/>
      <c r="M376" s="288"/>
      <c r="N376" s="289"/>
    </row>
    <row r="377" spans="1:14" s="290" customFormat="1" ht="12.75" x14ac:dyDescent="0.25">
      <c r="A377" s="286"/>
      <c r="B377" s="254"/>
      <c r="C377" s="269" t="s">
        <v>398</v>
      </c>
      <c r="D377" s="255">
        <v>1</v>
      </c>
      <c r="E377" s="547">
        <v>10.24</v>
      </c>
      <c r="F377" s="548"/>
      <c r="G377" s="275"/>
      <c r="H377" s="268">
        <f t="shared" si="52"/>
        <v>10.24</v>
      </c>
      <c r="I377" s="255"/>
      <c r="J377" s="255"/>
      <c r="K377" s="245"/>
      <c r="L377" s="245"/>
      <c r="M377" s="288"/>
      <c r="N377" s="289"/>
    </row>
    <row r="378" spans="1:14" s="290" customFormat="1" ht="12.75" x14ac:dyDescent="0.25">
      <c r="A378" s="286"/>
      <c r="B378" s="254"/>
      <c r="C378" s="269" t="s">
        <v>399</v>
      </c>
      <c r="D378" s="255">
        <v>1</v>
      </c>
      <c r="E378" s="547">
        <v>10.15</v>
      </c>
      <c r="F378" s="548"/>
      <c r="G378" s="275"/>
      <c r="H378" s="268">
        <f t="shared" si="52"/>
        <v>10.15</v>
      </c>
      <c r="I378" s="255"/>
      <c r="J378" s="255"/>
      <c r="K378" s="245"/>
      <c r="L378" s="245"/>
      <c r="M378" s="288"/>
      <c r="N378" s="289"/>
    </row>
    <row r="379" spans="1:14" s="290" customFormat="1" ht="12.75" x14ac:dyDescent="0.25">
      <c r="A379" s="286"/>
      <c r="B379" s="245"/>
      <c r="C379" s="245"/>
      <c r="D379" s="275"/>
      <c r="E379" s="268"/>
      <c r="F379" s="275"/>
      <c r="G379" s="329"/>
      <c r="H379" s="275"/>
      <c r="I379" s="275"/>
      <c r="J379" s="286"/>
      <c r="K379" s="245"/>
      <c r="L379" s="245"/>
      <c r="M379" s="288"/>
      <c r="N379" s="289"/>
    </row>
    <row r="380" spans="1:14" s="271" customFormat="1" ht="12.75" x14ac:dyDescent="0.25">
      <c r="A380" s="277"/>
      <c r="B380" s="277" t="s">
        <v>612</v>
      </c>
      <c r="C380" s="277"/>
      <c r="D380" s="284"/>
      <c r="E380" s="284"/>
      <c r="F380" s="284"/>
      <c r="G380" s="327"/>
      <c r="H380" s="284"/>
      <c r="I380" s="307">
        <f>SUM(H381:H384)</f>
        <v>33.32</v>
      </c>
      <c r="J380" s="308" t="s">
        <v>483</v>
      </c>
      <c r="K380" s="277"/>
      <c r="L380" s="277"/>
      <c r="M380" s="309"/>
    </row>
    <row r="381" spans="1:14" s="290" customFormat="1" ht="12.75" x14ac:dyDescent="0.25">
      <c r="A381" s="286"/>
      <c r="B381" s="254" t="s">
        <v>613</v>
      </c>
      <c r="C381" s="269" t="s">
        <v>614</v>
      </c>
      <c r="D381" s="255">
        <v>2</v>
      </c>
      <c r="E381" s="547">
        <f>1+4.5+2.83</f>
        <v>8.33</v>
      </c>
      <c r="F381" s="548"/>
      <c r="G381" s="335"/>
      <c r="H381" s="268">
        <f>PRODUCT(D381:G381)</f>
        <v>16.66</v>
      </c>
      <c r="I381" s="268"/>
      <c r="J381" s="255"/>
      <c r="K381" s="245"/>
      <c r="L381" s="245"/>
      <c r="M381" s="288"/>
      <c r="N381" s="289"/>
    </row>
    <row r="382" spans="1:14" s="290" customFormat="1" ht="12.75" x14ac:dyDescent="0.25">
      <c r="A382" s="286"/>
      <c r="B382" s="254"/>
      <c r="C382" s="269" t="s">
        <v>615</v>
      </c>
      <c r="D382" s="255">
        <v>2</v>
      </c>
      <c r="E382" s="547">
        <f>1+4.5+2.83</f>
        <v>8.33</v>
      </c>
      <c r="F382" s="548"/>
      <c r="G382" s="335"/>
      <c r="H382" s="268">
        <f>PRODUCT(D382:G382)</f>
        <v>16.66</v>
      </c>
      <c r="I382" s="268"/>
      <c r="J382" s="255"/>
      <c r="K382" s="245"/>
      <c r="L382" s="245"/>
      <c r="M382" s="288"/>
      <c r="N382" s="289"/>
    </row>
    <row r="383" spans="1:14" s="290" customFormat="1" ht="12.75" x14ac:dyDescent="0.25">
      <c r="A383" s="286"/>
      <c r="B383" s="254"/>
      <c r="C383" s="269"/>
      <c r="D383" s="255"/>
      <c r="E383" s="547"/>
      <c r="F383" s="548"/>
      <c r="G383" s="335"/>
      <c r="H383" s="268"/>
      <c r="I383" s="255"/>
      <c r="J383" s="255"/>
      <c r="K383" s="245"/>
      <c r="L383" s="245"/>
      <c r="M383" s="288"/>
      <c r="N383" s="289"/>
    </row>
    <row r="384" spans="1:14" s="290" customFormat="1" ht="12.75" x14ac:dyDescent="0.25">
      <c r="A384" s="286"/>
      <c r="B384" s="254"/>
      <c r="C384" s="269"/>
      <c r="D384" s="255"/>
      <c r="E384" s="547"/>
      <c r="F384" s="548"/>
      <c r="G384" s="335"/>
      <c r="H384" s="268"/>
      <c r="I384" s="255"/>
      <c r="J384" s="255"/>
      <c r="K384" s="245"/>
      <c r="L384" s="245"/>
      <c r="M384" s="288"/>
      <c r="N384" s="289"/>
    </row>
    <row r="514" spans="1:14" s="271" customFormat="1" ht="12.75" x14ac:dyDescent="0.25">
      <c r="A514" s="266"/>
      <c r="B514" s="269"/>
      <c r="C514" s="269"/>
      <c r="D514" s="255"/>
      <c r="E514" s="547"/>
      <c r="F514" s="548"/>
      <c r="G514" s="330"/>
      <c r="H514" s="268"/>
      <c r="I514" s="268"/>
      <c r="J514" s="267"/>
      <c r="K514" s="269"/>
      <c r="L514" s="269"/>
      <c r="M514" s="273"/>
      <c r="N514" s="274"/>
    </row>
    <row r="515" spans="1:14" s="271" customFormat="1" ht="12.75" x14ac:dyDescent="0.25">
      <c r="A515" s="266"/>
      <c r="B515" s="269"/>
      <c r="C515" s="269"/>
      <c r="D515" s="255"/>
      <c r="E515" s="547"/>
      <c r="F515" s="548"/>
      <c r="G515" s="330"/>
      <c r="H515" s="268"/>
      <c r="I515" s="268"/>
      <c r="J515" s="267"/>
      <c r="K515" s="269"/>
      <c r="L515" s="269"/>
      <c r="M515" s="273"/>
      <c r="N515" s="274"/>
    </row>
    <row r="516" spans="1:14" s="271" customFormat="1" ht="12.75" x14ac:dyDescent="0.25">
      <c r="A516" s="266"/>
      <c r="B516" s="269"/>
      <c r="C516" s="269"/>
      <c r="D516" s="255"/>
      <c r="E516" s="547"/>
      <c r="F516" s="548"/>
      <c r="G516" s="330"/>
      <c r="H516" s="268"/>
      <c r="I516" s="268"/>
      <c r="J516" s="267"/>
      <c r="K516" s="269"/>
      <c r="L516" s="269"/>
      <c r="M516" s="273"/>
      <c r="N516" s="274"/>
    </row>
    <row r="517" spans="1:14" s="271" customFormat="1" ht="12.75" x14ac:dyDescent="0.25">
      <c r="A517" s="266"/>
      <c r="B517" s="269"/>
      <c r="C517" s="269"/>
      <c r="D517" s="255"/>
      <c r="E517" s="547"/>
      <c r="F517" s="548"/>
      <c r="G517" s="330"/>
      <c r="H517" s="268"/>
      <c r="I517" s="268"/>
      <c r="J517" s="267"/>
      <c r="K517" s="269"/>
      <c r="L517" s="269"/>
      <c r="M517" s="273"/>
      <c r="N517" s="274"/>
    </row>
    <row r="518" spans="1:14" s="271" customFormat="1" ht="12.75" x14ac:dyDescent="0.25">
      <c r="A518" s="266"/>
      <c r="B518" s="269"/>
      <c r="C518" s="269"/>
      <c r="D518" s="255"/>
      <c r="E518" s="547"/>
      <c r="F518" s="548"/>
      <c r="G518" s="330"/>
      <c r="H518" s="268"/>
      <c r="I518" s="268"/>
      <c r="J518" s="267"/>
      <c r="K518" s="269"/>
      <c r="L518" s="269"/>
      <c r="M518" s="273"/>
      <c r="N518" s="274"/>
    </row>
    <row r="519" spans="1:14" s="271" customFormat="1" ht="12.75" x14ac:dyDescent="0.25">
      <c r="A519" s="266"/>
      <c r="B519" s="269"/>
      <c r="C519" s="269"/>
      <c r="D519" s="255"/>
      <c r="E519" s="547"/>
      <c r="F519" s="548"/>
      <c r="G519" s="330"/>
      <c r="H519" s="268"/>
      <c r="I519" s="268"/>
      <c r="J519" s="267"/>
      <c r="K519" s="269"/>
      <c r="L519" s="269"/>
      <c r="M519" s="273"/>
      <c r="N519" s="274"/>
    </row>
    <row r="520" spans="1:14" s="271" customFormat="1" ht="12.75" x14ac:dyDescent="0.25">
      <c r="A520" s="266"/>
      <c r="B520" s="269"/>
      <c r="C520" s="269"/>
      <c r="D520" s="255"/>
      <c r="E520" s="547"/>
      <c r="F520" s="548"/>
      <c r="G520" s="330"/>
      <c r="H520" s="268"/>
      <c r="I520" s="268"/>
      <c r="J520" s="267"/>
      <c r="K520" s="269"/>
      <c r="L520" s="269"/>
      <c r="M520" s="273"/>
      <c r="N520" s="274"/>
    </row>
    <row r="521" spans="1:14" s="271" customFormat="1" ht="12.75" x14ac:dyDescent="0.25">
      <c r="A521" s="266"/>
      <c r="B521" s="269"/>
      <c r="C521" s="269"/>
      <c r="D521" s="255"/>
      <c r="E521" s="547"/>
      <c r="F521" s="548"/>
      <c r="G521" s="330"/>
      <c r="H521" s="268"/>
      <c r="I521" s="268"/>
      <c r="J521" s="267"/>
      <c r="K521" s="269"/>
      <c r="L521" s="269"/>
      <c r="M521" s="273"/>
      <c r="N521" s="274"/>
    </row>
    <row r="522" spans="1:14" s="271" customFormat="1" ht="12.75" x14ac:dyDescent="0.25">
      <c r="A522" s="266"/>
      <c r="B522" s="269"/>
      <c r="C522" s="269"/>
      <c r="D522" s="255"/>
      <c r="E522" s="547"/>
      <c r="F522" s="548"/>
      <c r="G522" s="330"/>
      <c r="H522" s="268"/>
      <c r="I522" s="268"/>
      <c r="J522" s="267"/>
      <c r="K522" s="269"/>
      <c r="L522" s="269"/>
      <c r="M522" s="273"/>
      <c r="N522" s="274"/>
    </row>
    <row r="523" spans="1:14" s="271" customFormat="1" ht="12.75" x14ac:dyDescent="0.25">
      <c r="A523" s="266"/>
      <c r="B523" s="269"/>
      <c r="C523" s="269"/>
      <c r="D523" s="255"/>
      <c r="E523" s="547"/>
      <c r="F523" s="548"/>
      <c r="G523" s="330"/>
      <c r="H523" s="268"/>
      <c r="I523" s="268"/>
      <c r="J523" s="267"/>
      <c r="K523" s="269"/>
      <c r="L523" s="269"/>
      <c r="M523" s="273"/>
      <c r="N523" s="274"/>
    </row>
    <row r="524" spans="1:14" s="271" customFormat="1" ht="12.75" x14ac:dyDescent="0.25">
      <c r="A524" s="266"/>
      <c r="B524" s="269"/>
      <c r="C524" s="269"/>
      <c r="D524" s="255"/>
      <c r="E524" s="547"/>
      <c r="F524" s="548"/>
      <c r="G524" s="330"/>
      <c r="H524" s="268"/>
      <c r="I524" s="268"/>
      <c r="J524" s="267"/>
      <c r="K524" s="269"/>
      <c r="L524" s="269"/>
      <c r="M524" s="273"/>
      <c r="N524" s="274"/>
    </row>
    <row r="525" spans="1:14" s="271" customFormat="1" ht="12.75" x14ac:dyDescent="0.25">
      <c r="A525" s="266"/>
      <c r="B525" s="269"/>
      <c r="C525" s="269"/>
      <c r="D525" s="255"/>
      <c r="E525" s="547"/>
      <c r="F525" s="548"/>
      <c r="G525" s="330"/>
      <c r="H525" s="268"/>
      <c r="I525" s="268"/>
      <c r="J525" s="267"/>
      <c r="K525" s="269"/>
      <c r="L525" s="269"/>
      <c r="M525" s="273"/>
      <c r="N525" s="274"/>
    </row>
    <row r="526" spans="1:14" s="271" customFormat="1" ht="12.75" x14ac:dyDescent="0.25">
      <c r="A526" s="266"/>
      <c r="B526" s="269"/>
      <c r="C526" s="269"/>
      <c r="D526" s="255"/>
      <c r="E526" s="547"/>
      <c r="F526" s="548"/>
      <c r="G526" s="330"/>
      <c r="H526" s="268"/>
      <c r="I526" s="268"/>
      <c r="J526" s="267"/>
      <c r="K526" s="269"/>
      <c r="L526" s="269"/>
      <c r="M526" s="273"/>
      <c r="N526" s="274"/>
    </row>
    <row r="527" spans="1:14" s="271" customFormat="1" ht="12.75" x14ac:dyDescent="0.25">
      <c r="A527" s="266"/>
      <c r="B527" s="269"/>
      <c r="C527" s="269"/>
      <c r="D527" s="255"/>
      <c r="E527" s="547"/>
      <c r="F527" s="548"/>
      <c r="G527" s="330"/>
      <c r="H527" s="268"/>
      <c r="I527" s="268"/>
      <c r="J527" s="267"/>
      <c r="K527" s="269"/>
      <c r="L527" s="269"/>
      <c r="M527" s="273"/>
      <c r="N527" s="274"/>
    </row>
    <row r="528" spans="1:14" s="271" customFormat="1" ht="12.75" x14ac:dyDescent="0.25">
      <c r="A528" s="266"/>
      <c r="B528" s="269"/>
      <c r="C528" s="269"/>
      <c r="D528" s="255"/>
      <c r="E528" s="547"/>
      <c r="F528" s="548"/>
      <c r="G528" s="330"/>
      <c r="H528" s="268"/>
      <c r="I528" s="268"/>
      <c r="J528" s="267"/>
      <c r="K528" s="269"/>
      <c r="L528" s="269"/>
      <c r="M528" s="273"/>
      <c r="N528" s="274"/>
    </row>
    <row r="529" spans="1:14" s="271" customFormat="1" ht="12.75" x14ac:dyDescent="0.25">
      <c r="A529" s="266"/>
      <c r="B529" s="269"/>
      <c r="C529" s="269"/>
      <c r="D529" s="255"/>
      <c r="E529" s="547"/>
      <c r="F529" s="548"/>
      <c r="G529" s="330"/>
      <c r="H529" s="268"/>
      <c r="I529" s="268"/>
      <c r="J529" s="267"/>
      <c r="K529" s="269"/>
      <c r="L529" s="269"/>
      <c r="M529" s="273"/>
      <c r="N529" s="274"/>
    </row>
    <row r="530" spans="1:14" s="271" customFormat="1" ht="12.75" x14ac:dyDescent="0.25">
      <c r="A530" s="266"/>
      <c r="B530" s="269"/>
      <c r="C530" s="269"/>
      <c r="D530" s="255"/>
      <c r="E530" s="547"/>
      <c r="F530" s="548"/>
      <c r="G530" s="330"/>
      <c r="H530" s="268"/>
      <c r="I530" s="268"/>
      <c r="J530" s="267"/>
      <c r="K530" s="269"/>
      <c r="L530" s="269"/>
      <c r="M530" s="273"/>
      <c r="N530" s="274"/>
    </row>
    <row r="531" spans="1:14" s="271" customFormat="1" ht="12.75" x14ac:dyDescent="0.25">
      <c r="A531" s="266"/>
      <c r="B531" s="269"/>
      <c r="C531" s="269"/>
      <c r="D531" s="255"/>
      <c r="E531" s="547"/>
      <c r="F531" s="548"/>
      <c r="G531" s="330"/>
      <c r="H531" s="268"/>
      <c r="I531" s="268"/>
      <c r="J531" s="267"/>
      <c r="K531" s="269"/>
      <c r="L531" s="269"/>
      <c r="M531" s="273"/>
      <c r="N531" s="274"/>
    </row>
    <row r="532" spans="1:14" s="271" customFormat="1" ht="12.75" x14ac:dyDescent="0.25">
      <c r="A532" s="266"/>
      <c r="B532" s="269"/>
      <c r="C532" s="269"/>
      <c r="D532" s="255"/>
      <c r="E532" s="547"/>
      <c r="F532" s="548"/>
      <c r="G532" s="330"/>
      <c r="H532" s="268"/>
      <c r="I532" s="268"/>
      <c r="J532" s="267"/>
      <c r="K532" s="269"/>
      <c r="L532" s="269"/>
      <c r="M532" s="273"/>
      <c r="N532" s="274"/>
    </row>
    <row r="533" spans="1:14" s="271" customFormat="1" ht="12.75" x14ac:dyDescent="0.25">
      <c r="A533" s="266"/>
      <c r="B533" s="269"/>
      <c r="C533" s="269"/>
      <c r="D533" s="255"/>
      <c r="E533" s="547"/>
      <c r="F533" s="548"/>
      <c r="G533" s="330"/>
      <c r="H533" s="268"/>
      <c r="I533" s="268"/>
      <c r="J533" s="267"/>
      <c r="K533" s="269"/>
      <c r="L533" s="269"/>
      <c r="M533" s="273"/>
      <c r="N533" s="274"/>
    </row>
    <row r="534" spans="1:14" s="271" customFormat="1" ht="12.75" x14ac:dyDescent="0.25">
      <c r="A534" s="266"/>
      <c r="B534" s="269"/>
      <c r="C534" s="269"/>
      <c r="D534" s="255"/>
      <c r="E534" s="547"/>
      <c r="F534" s="548"/>
      <c r="G534" s="330"/>
      <c r="H534" s="268"/>
      <c r="I534" s="268"/>
      <c r="J534" s="267"/>
      <c r="K534" s="269"/>
      <c r="L534" s="269"/>
      <c r="M534" s="273"/>
      <c r="N534" s="274"/>
    </row>
    <row r="535" spans="1:14" s="271" customFormat="1" ht="12.75" x14ac:dyDescent="0.25">
      <c r="A535" s="266"/>
      <c r="B535" s="269"/>
      <c r="C535" s="269"/>
      <c r="D535" s="255"/>
      <c r="E535" s="547"/>
      <c r="F535" s="548"/>
      <c r="G535" s="330"/>
      <c r="H535" s="268"/>
      <c r="I535" s="268"/>
      <c r="J535" s="267"/>
      <c r="K535" s="269"/>
      <c r="L535" s="269"/>
      <c r="M535" s="273"/>
      <c r="N535" s="274"/>
    </row>
    <row r="536" spans="1:14" s="271" customFormat="1" ht="12.75" x14ac:dyDescent="0.25">
      <c r="A536" s="266"/>
      <c r="B536" s="269"/>
      <c r="C536" s="269"/>
      <c r="D536" s="255"/>
      <c r="E536" s="547"/>
      <c r="F536" s="548"/>
      <c r="G536" s="330"/>
      <c r="H536" s="268"/>
      <c r="I536" s="268"/>
      <c r="J536" s="267"/>
      <c r="K536" s="269"/>
      <c r="L536" s="269"/>
      <c r="M536" s="273"/>
      <c r="N536" s="274"/>
    </row>
    <row r="537" spans="1:14" s="271" customFormat="1" ht="12.75" x14ac:dyDescent="0.25">
      <c r="A537" s="266"/>
      <c r="B537" s="269"/>
      <c r="C537" s="269"/>
      <c r="D537" s="255"/>
      <c r="E537" s="547"/>
      <c r="F537" s="548"/>
      <c r="G537" s="330"/>
      <c r="H537" s="268"/>
      <c r="I537" s="268"/>
      <c r="J537" s="267"/>
      <c r="K537" s="269"/>
      <c r="L537" s="269"/>
      <c r="M537" s="273"/>
      <c r="N537" s="274"/>
    </row>
    <row r="538" spans="1:14" s="271" customFormat="1" ht="12.75" x14ac:dyDescent="0.25">
      <c r="A538" s="266"/>
      <c r="B538" s="269"/>
      <c r="C538" s="269"/>
      <c r="D538" s="255"/>
      <c r="E538" s="547"/>
      <c r="F538" s="548"/>
      <c r="G538" s="330"/>
      <c r="H538" s="268"/>
      <c r="I538" s="268"/>
      <c r="J538" s="267"/>
      <c r="K538" s="269"/>
      <c r="L538" s="269"/>
      <c r="M538" s="273"/>
      <c r="N538" s="274"/>
    </row>
    <row r="539" spans="1:14" s="271" customFormat="1" ht="12.75" x14ac:dyDescent="0.25">
      <c r="A539" s="266"/>
      <c r="B539" s="269"/>
      <c r="C539" s="269"/>
      <c r="D539" s="255"/>
      <c r="E539" s="547"/>
      <c r="F539" s="548"/>
      <c r="G539" s="330"/>
      <c r="H539" s="268"/>
      <c r="I539" s="268"/>
      <c r="J539" s="267"/>
      <c r="K539" s="269"/>
      <c r="L539" s="269"/>
      <c r="M539" s="273"/>
      <c r="N539" s="274"/>
    </row>
    <row r="540" spans="1:14" s="271" customFormat="1" ht="12.75" x14ac:dyDescent="0.25">
      <c r="A540" s="266"/>
      <c r="B540" s="269"/>
      <c r="C540" s="269"/>
      <c r="D540" s="255"/>
      <c r="E540" s="547"/>
      <c r="F540" s="548"/>
      <c r="G540" s="330"/>
      <c r="H540" s="268"/>
      <c r="I540" s="268"/>
      <c r="J540" s="267"/>
      <c r="K540" s="269"/>
      <c r="L540" s="269"/>
      <c r="M540" s="273"/>
      <c r="N540" s="274"/>
    </row>
    <row r="541" spans="1:14" s="271" customFormat="1" ht="12.75" x14ac:dyDescent="0.25">
      <c r="A541" s="266"/>
      <c r="B541" s="269"/>
      <c r="C541" s="269"/>
      <c r="D541" s="255"/>
      <c r="E541" s="547"/>
      <c r="F541" s="548"/>
      <c r="G541" s="330"/>
      <c r="H541" s="268"/>
      <c r="I541" s="268"/>
      <c r="J541" s="267"/>
      <c r="K541" s="269"/>
      <c r="L541" s="269"/>
      <c r="M541" s="273"/>
      <c r="N541" s="274"/>
    </row>
    <row r="542" spans="1:14" s="271" customFormat="1" ht="12.75" x14ac:dyDescent="0.25">
      <c r="A542" s="266"/>
      <c r="B542" s="269"/>
      <c r="C542" s="269"/>
      <c r="D542" s="255"/>
      <c r="E542" s="547"/>
      <c r="F542" s="548"/>
      <c r="G542" s="330"/>
      <c r="H542" s="268"/>
      <c r="I542" s="268"/>
      <c r="J542" s="267"/>
      <c r="K542" s="269"/>
      <c r="L542" s="269"/>
      <c r="M542" s="273"/>
      <c r="N542" s="274"/>
    </row>
    <row r="543" spans="1:14" s="271" customFormat="1" ht="12.75" x14ac:dyDescent="0.25">
      <c r="A543" s="266"/>
      <c r="B543" s="269"/>
      <c r="C543" s="269"/>
      <c r="D543" s="255"/>
      <c r="E543" s="547"/>
      <c r="F543" s="548"/>
      <c r="G543" s="330"/>
      <c r="H543" s="268"/>
      <c r="I543" s="268"/>
      <c r="J543" s="267"/>
      <c r="K543" s="269"/>
      <c r="L543" s="269"/>
      <c r="M543" s="273"/>
      <c r="N543" s="274"/>
    </row>
    <row r="544" spans="1:14" s="271" customFormat="1" ht="12.75" x14ac:dyDescent="0.25">
      <c r="A544" s="266"/>
      <c r="B544" s="269"/>
      <c r="C544" s="269"/>
      <c r="D544" s="255"/>
      <c r="E544" s="547"/>
      <c r="F544" s="548"/>
      <c r="G544" s="330"/>
      <c r="H544" s="268"/>
      <c r="I544" s="268"/>
      <c r="J544" s="267"/>
      <c r="K544" s="269"/>
      <c r="L544" s="269"/>
      <c r="M544" s="273"/>
      <c r="N544" s="274"/>
    </row>
    <row r="545" spans="1:14" s="271" customFormat="1" ht="12.75" x14ac:dyDescent="0.25">
      <c r="A545" s="266"/>
      <c r="B545" s="269"/>
      <c r="C545" s="269"/>
      <c r="D545" s="255"/>
      <c r="E545" s="547"/>
      <c r="F545" s="548"/>
      <c r="G545" s="330"/>
      <c r="H545" s="268"/>
      <c r="I545" s="268"/>
      <c r="J545" s="267"/>
      <c r="K545" s="269"/>
      <c r="L545" s="269"/>
      <c r="M545" s="273"/>
      <c r="N545" s="274"/>
    </row>
    <row r="546" spans="1:14" s="271" customFormat="1" ht="12.75" x14ac:dyDescent="0.25">
      <c r="A546" s="266"/>
      <c r="B546" s="269"/>
      <c r="C546" s="269"/>
      <c r="D546" s="255"/>
      <c r="E546" s="547"/>
      <c r="F546" s="548"/>
      <c r="G546" s="330"/>
      <c r="H546" s="268"/>
      <c r="I546" s="268"/>
      <c r="J546" s="267"/>
      <c r="K546" s="269"/>
      <c r="L546" s="269"/>
      <c r="M546" s="273"/>
      <c r="N546" s="274"/>
    </row>
    <row r="547" spans="1:14" s="271" customFormat="1" ht="12.75" x14ac:dyDescent="0.25">
      <c r="A547" s="266"/>
      <c r="B547" s="269"/>
      <c r="C547" s="269"/>
      <c r="D547" s="255"/>
      <c r="E547" s="547"/>
      <c r="F547" s="548"/>
      <c r="G547" s="330"/>
      <c r="H547" s="268"/>
      <c r="I547" s="268"/>
      <c r="J547" s="267"/>
      <c r="K547" s="269"/>
      <c r="L547" s="269"/>
      <c r="M547" s="273"/>
      <c r="N547" s="274"/>
    </row>
    <row r="548" spans="1:14" s="271" customFormat="1" ht="12.75" x14ac:dyDescent="0.25">
      <c r="A548" s="266"/>
      <c r="B548" s="269"/>
      <c r="C548" s="269"/>
      <c r="D548" s="255"/>
      <c r="E548" s="547"/>
      <c r="F548" s="548"/>
      <c r="G548" s="330"/>
      <c r="H548" s="268"/>
      <c r="I548" s="268"/>
      <c r="J548" s="267"/>
      <c r="K548" s="269"/>
      <c r="L548" s="269"/>
      <c r="M548" s="273"/>
      <c r="N548" s="274"/>
    </row>
    <row r="549" spans="1:14" s="271" customFormat="1" ht="12.75" x14ac:dyDescent="0.25">
      <c r="A549" s="266"/>
      <c r="B549" s="269"/>
      <c r="C549" s="269"/>
      <c r="D549" s="255"/>
      <c r="E549" s="547"/>
      <c r="F549" s="548"/>
      <c r="G549" s="330"/>
      <c r="H549" s="268"/>
      <c r="I549" s="268"/>
      <c r="J549" s="267"/>
      <c r="K549" s="269"/>
      <c r="L549" s="269"/>
      <c r="M549" s="273"/>
      <c r="N549" s="274"/>
    </row>
    <row r="550" spans="1:14" s="271" customFormat="1" ht="12.75" x14ac:dyDescent="0.25">
      <c r="A550" s="266"/>
      <c r="B550" s="269"/>
      <c r="C550" s="269"/>
      <c r="D550" s="255"/>
      <c r="E550" s="547"/>
      <c r="F550" s="548"/>
      <c r="G550" s="330"/>
      <c r="H550" s="268"/>
      <c r="I550" s="268"/>
      <c r="J550" s="267"/>
      <c r="K550" s="269"/>
      <c r="L550" s="269"/>
      <c r="M550" s="273"/>
      <c r="N550" s="274"/>
    </row>
    <row r="551" spans="1:14" s="271" customFormat="1" ht="12.75" x14ac:dyDescent="0.25">
      <c r="A551" s="266"/>
      <c r="B551" s="269"/>
      <c r="C551" s="269"/>
      <c r="D551" s="255"/>
      <c r="E551" s="547"/>
      <c r="F551" s="548"/>
      <c r="G551" s="330"/>
      <c r="H551" s="268"/>
      <c r="I551" s="268"/>
      <c r="J551" s="267"/>
      <c r="K551" s="269"/>
      <c r="L551" s="269"/>
      <c r="M551" s="273"/>
      <c r="N551" s="274"/>
    </row>
    <row r="552" spans="1:14" s="271" customFormat="1" ht="12.75" x14ac:dyDescent="0.25">
      <c r="A552" s="266"/>
      <c r="B552" s="269"/>
      <c r="C552" s="269"/>
      <c r="D552" s="255"/>
      <c r="E552" s="547"/>
      <c r="F552" s="548"/>
      <c r="G552" s="330"/>
      <c r="H552" s="268"/>
      <c r="I552" s="268"/>
      <c r="J552" s="267"/>
      <c r="K552" s="269"/>
      <c r="L552" s="269"/>
      <c r="M552" s="273"/>
      <c r="N552" s="274"/>
    </row>
    <row r="553" spans="1:14" s="271" customFormat="1" ht="12.75" x14ac:dyDescent="0.25">
      <c r="A553" s="266"/>
      <c r="B553" s="269"/>
      <c r="C553" s="269"/>
      <c r="D553" s="255"/>
      <c r="E553" s="547"/>
      <c r="F553" s="548"/>
      <c r="G553" s="330"/>
      <c r="H553" s="268"/>
      <c r="I553" s="268"/>
      <c r="J553" s="267"/>
      <c r="K553" s="269"/>
      <c r="L553" s="269"/>
      <c r="M553" s="273"/>
      <c r="N553" s="274"/>
    </row>
    <row r="554" spans="1:14" s="271" customFormat="1" ht="12.75" x14ac:dyDescent="0.25">
      <c r="A554" s="266"/>
      <c r="B554" s="269"/>
      <c r="C554" s="269"/>
      <c r="D554" s="255"/>
      <c r="E554" s="547"/>
      <c r="F554" s="548"/>
      <c r="G554" s="330"/>
      <c r="H554" s="268"/>
      <c r="I554" s="268"/>
      <c r="J554" s="267"/>
      <c r="K554" s="269"/>
      <c r="L554" s="269"/>
      <c r="M554" s="273"/>
      <c r="N554" s="274"/>
    </row>
    <row r="555" spans="1:14" s="271" customFormat="1" ht="12.75" x14ac:dyDescent="0.25">
      <c r="A555" s="266"/>
      <c r="B555" s="269"/>
      <c r="C555" s="269"/>
      <c r="D555" s="255"/>
      <c r="E555" s="547"/>
      <c r="F555" s="548"/>
      <c r="G555" s="330"/>
      <c r="H555" s="268"/>
      <c r="I555" s="268"/>
      <c r="J555" s="267"/>
      <c r="K555" s="269"/>
      <c r="L555" s="269"/>
      <c r="M555" s="273"/>
      <c r="N555" s="274"/>
    </row>
    <row r="556" spans="1:14" s="271" customFormat="1" ht="12.75" x14ac:dyDescent="0.25">
      <c r="A556" s="266"/>
      <c r="B556" s="269"/>
      <c r="C556" s="269"/>
      <c r="D556" s="255"/>
      <c r="E556" s="547"/>
      <c r="F556" s="548"/>
      <c r="G556" s="330"/>
      <c r="H556" s="268"/>
      <c r="I556" s="268"/>
      <c r="J556" s="267"/>
      <c r="K556" s="269"/>
      <c r="L556" s="269"/>
      <c r="M556" s="273"/>
      <c r="N556" s="274"/>
    </row>
    <row r="557" spans="1:14" s="271" customFormat="1" ht="12.75" x14ac:dyDescent="0.25">
      <c r="A557" s="266"/>
      <c r="B557" s="269"/>
      <c r="C557" s="269"/>
      <c r="D557" s="255"/>
      <c r="E557" s="547"/>
      <c r="F557" s="548"/>
      <c r="G557" s="330"/>
      <c r="H557" s="268"/>
      <c r="I557" s="268"/>
      <c r="J557" s="267"/>
      <c r="K557" s="269"/>
      <c r="L557" s="269"/>
      <c r="M557" s="273"/>
      <c r="N557" s="274"/>
    </row>
    <row r="558" spans="1:14" s="271" customFormat="1" ht="12.75" x14ac:dyDescent="0.25">
      <c r="A558" s="266"/>
      <c r="B558" s="269"/>
      <c r="C558" s="269"/>
      <c r="D558" s="255"/>
      <c r="E558" s="547"/>
      <c r="F558" s="548"/>
      <c r="G558" s="330"/>
      <c r="H558" s="268"/>
      <c r="I558" s="268"/>
      <c r="J558" s="267"/>
      <c r="K558" s="269"/>
      <c r="L558" s="269"/>
      <c r="M558" s="273"/>
      <c r="N558" s="274"/>
    </row>
    <row r="559" spans="1:14" s="271" customFormat="1" ht="12.75" x14ac:dyDescent="0.25">
      <c r="A559" s="266"/>
      <c r="B559" s="269"/>
      <c r="C559" s="269"/>
      <c r="D559" s="255"/>
      <c r="E559" s="547"/>
      <c r="F559" s="548"/>
      <c r="G559" s="330"/>
      <c r="H559" s="268"/>
      <c r="I559" s="268"/>
      <c r="J559" s="267"/>
      <c r="K559" s="269"/>
      <c r="L559" s="269"/>
      <c r="M559" s="273"/>
      <c r="N559" s="274"/>
    </row>
    <row r="560" spans="1:14" s="271" customFormat="1" ht="12.75" x14ac:dyDescent="0.25">
      <c r="A560" s="266"/>
      <c r="B560" s="269"/>
      <c r="C560" s="269"/>
      <c r="D560" s="255"/>
      <c r="E560" s="547"/>
      <c r="F560" s="548"/>
      <c r="G560" s="330"/>
      <c r="H560" s="268"/>
      <c r="I560" s="268"/>
      <c r="J560" s="267"/>
      <c r="K560" s="269"/>
      <c r="L560" s="269"/>
      <c r="M560" s="273"/>
      <c r="N560" s="274"/>
    </row>
    <row r="561" spans="1:14" s="271" customFormat="1" ht="12.75" x14ac:dyDescent="0.25">
      <c r="A561" s="266"/>
      <c r="B561" s="269"/>
      <c r="C561" s="269"/>
      <c r="D561" s="255"/>
      <c r="E561" s="547"/>
      <c r="F561" s="548"/>
      <c r="G561" s="330"/>
      <c r="H561" s="268"/>
      <c r="I561" s="268"/>
      <c r="J561" s="267"/>
      <c r="K561" s="269"/>
      <c r="L561" s="269"/>
      <c r="M561" s="273"/>
      <c r="N561" s="274"/>
    </row>
    <row r="562" spans="1:14" s="271" customFormat="1" ht="12.75" x14ac:dyDescent="0.25">
      <c r="A562" s="266"/>
      <c r="B562" s="269"/>
      <c r="C562" s="269"/>
      <c r="D562" s="255"/>
      <c r="E562" s="547"/>
      <c r="F562" s="548"/>
      <c r="G562" s="330"/>
      <c r="H562" s="268"/>
      <c r="I562" s="268"/>
      <c r="J562" s="267"/>
      <c r="K562" s="269"/>
      <c r="L562" s="269"/>
      <c r="M562" s="273"/>
      <c r="N562" s="274"/>
    </row>
    <row r="563" spans="1:14" s="271" customFormat="1" ht="12.75" x14ac:dyDescent="0.25">
      <c r="A563" s="266"/>
      <c r="B563" s="269"/>
      <c r="C563" s="269"/>
      <c r="D563" s="255"/>
      <c r="E563" s="547"/>
      <c r="F563" s="548"/>
      <c r="G563" s="330"/>
      <c r="H563" s="268"/>
      <c r="I563" s="268"/>
      <c r="J563" s="267"/>
      <c r="K563" s="269"/>
      <c r="L563" s="269"/>
      <c r="M563" s="273"/>
      <c r="N563" s="274"/>
    </row>
    <row r="564" spans="1:14" s="271" customFormat="1" ht="12.75" x14ac:dyDescent="0.25">
      <c r="A564" s="266"/>
      <c r="B564" s="269"/>
      <c r="C564" s="269"/>
      <c r="D564" s="255"/>
      <c r="E564" s="547"/>
      <c r="F564" s="548"/>
      <c r="G564" s="330"/>
      <c r="H564" s="268"/>
      <c r="I564" s="268"/>
      <c r="J564" s="267"/>
      <c r="K564" s="269"/>
      <c r="L564" s="269"/>
      <c r="M564" s="273"/>
      <c r="N564" s="274"/>
    </row>
    <row r="565" spans="1:14" s="271" customFormat="1" ht="12.75" x14ac:dyDescent="0.25">
      <c r="A565" s="266"/>
      <c r="B565" s="269"/>
      <c r="C565" s="269"/>
      <c r="D565" s="255"/>
      <c r="E565" s="547"/>
      <c r="F565" s="548"/>
      <c r="G565" s="330"/>
      <c r="H565" s="268"/>
      <c r="I565" s="268"/>
      <c r="J565" s="267"/>
      <c r="K565" s="269"/>
      <c r="L565" s="269"/>
      <c r="M565" s="273"/>
      <c r="N565" s="274"/>
    </row>
    <row r="566" spans="1:14" s="271" customFormat="1" ht="12.75" x14ac:dyDescent="0.25">
      <c r="A566" s="266"/>
      <c r="B566" s="269"/>
      <c r="C566" s="269"/>
      <c r="D566" s="255"/>
      <c r="E566" s="547"/>
      <c r="F566" s="548"/>
      <c r="G566" s="330"/>
      <c r="H566" s="268"/>
      <c r="I566" s="268"/>
      <c r="J566" s="267"/>
      <c r="K566" s="269"/>
      <c r="L566" s="269"/>
      <c r="M566" s="273"/>
      <c r="N566" s="274"/>
    </row>
    <row r="567" spans="1:14" s="271" customFormat="1" ht="12.75" x14ac:dyDescent="0.25">
      <c r="A567" s="266"/>
      <c r="B567" s="269"/>
      <c r="C567" s="269"/>
      <c r="D567" s="255"/>
      <c r="E567" s="547"/>
      <c r="F567" s="548"/>
      <c r="G567" s="330"/>
      <c r="H567" s="268"/>
      <c r="I567" s="268"/>
      <c r="J567" s="267"/>
      <c r="K567" s="269"/>
      <c r="L567" s="269"/>
      <c r="M567" s="273"/>
      <c r="N567" s="274"/>
    </row>
    <row r="568" spans="1:14" s="271" customFormat="1" ht="12.75" x14ac:dyDescent="0.25">
      <c r="A568" s="266"/>
      <c r="B568" s="269"/>
      <c r="C568" s="269"/>
      <c r="D568" s="255"/>
      <c r="E568" s="547"/>
      <c r="F568" s="548"/>
      <c r="G568" s="330"/>
      <c r="H568" s="268"/>
      <c r="I568" s="268"/>
      <c r="J568" s="267"/>
      <c r="K568" s="269"/>
      <c r="L568" s="269"/>
      <c r="M568" s="273"/>
      <c r="N568" s="274"/>
    </row>
    <row r="569" spans="1:14" s="271" customFormat="1" ht="12.75" x14ac:dyDescent="0.25">
      <c r="A569" s="266"/>
      <c r="B569" s="269"/>
      <c r="C569" s="269"/>
      <c r="D569" s="255"/>
      <c r="E569" s="547"/>
      <c r="F569" s="548"/>
      <c r="G569" s="330"/>
      <c r="H569" s="268"/>
      <c r="I569" s="268"/>
      <c r="J569" s="267"/>
      <c r="K569" s="269"/>
      <c r="L569" s="269"/>
      <c r="M569" s="273"/>
      <c r="N569" s="274"/>
    </row>
    <row r="570" spans="1:14" s="271" customFormat="1" ht="12.75" x14ac:dyDescent="0.25">
      <c r="A570" s="266"/>
      <c r="B570" s="269"/>
      <c r="C570" s="269"/>
      <c r="D570" s="255"/>
      <c r="E570" s="547"/>
      <c r="F570" s="548"/>
      <c r="G570" s="330"/>
      <c r="H570" s="268"/>
      <c r="I570" s="268"/>
      <c r="J570" s="267"/>
      <c r="K570" s="269"/>
      <c r="L570" s="269"/>
      <c r="M570" s="273"/>
      <c r="N570" s="274"/>
    </row>
    <row r="571" spans="1:14" s="271" customFormat="1" ht="12.75" x14ac:dyDescent="0.25">
      <c r="A571" s="266"/>
      <c r="B571" s="269"/>
      <c r="C571" s="269"/>
      <c r="D571" s="255"/>
      <c r="E571" s="547"/>
      <c r="F571" s="548"/>
      <c r="G571" s="330"/>
      <c r="H571" s="268"/>
      <c r="I571" s="268"/>
      <c r="J571" s="267"/>
      <c r="K571" s="269"/>
      <c r="L571" s="269"/>
      <c r="M571" s="273"/>
      <c r="N571" s="274"/>
    </row>
    <row r="572" spans="1:14" s="271" customFormat="1" ht="12.75" x14ac:dyDescent="0.25">
      <c r="A572" s="266"/>
      <c r="B572" s="269"/>
      <c r="C572" s="269"/>
      <c r="D572" s="255"/>
      <c r="E572" s="547"/>
      <c r="F572" s="548"/>
      <c r="G572" s="330"/>
      <c r="H572" s="268"/>
      <c r="I572" s="268"/>
      <c r="J572" s="267"/>
      <c r="K572" s="269"/>
      <c r="L572" s="269"/>
      <c r="M572" s="273"/>
      <c r="N572" s="274"/>
    </row>
    <row r="573" spans="1:14" s="271" customFormat="1" ht="12.75" x14ac:dyDescent="0.25">
      <c r="A573" s="266"/>
      <c r="B573" s="269"/>
      <c r="C573" s="269"/>
      <c r="D573" s="255"/>
      <c r="E573" s="547"/>
      <c r="F573" s="548"/>
      <c r="G573" s="330"/>
      <c r="H573" s="268"/>
      <c r="I573" s="268"/>
      <c r="J573" s="267"/>
      <c r="K573" s="269"/>
      <c r="L573" s="269"/>
      <c r="M573" s="273"/>
      <c r="N573" s="274"/>
    </row>
    <row r="574" spans="1:14" s="271" customFormat="1" ht="12.75" x14ac:dyDescent="0.25">
      <c r="A574" s="266"/>
      <c r="B574" s="269"/>
      <c r="C574" s="269"/>
      <c r="D574" s="255"/>
      <c r="E574" s="547"/>
      <c r="F574" s="548"/>
      <c r="G574" s="330"/>
      <c r="H574" s="268"/>
      <c r="I574" s="268"/>
      <c r="J574" s="267"/>
      <c r="K574" s="269"/>
      <c r="L574" s="269"/>
      <c r="M574" s="273"/>
      <c r="N574" s="274"/>
    </row>
    <row r="575" spans="1:14" s="271" customFormat="1" ht="12.75" x14ac:dyDescent="0.25">
      <c r="A575" s="266"/>
      <c r="B575" s="269"/>
      <c r="C575" s="269"/>
      <c r="D575" s="255"/>
      <c r="E575" s="547"/>
      <c r="F575" s="548"/>
      <c r="G575" s="330"/>
      <c r="H575" s="268"/>
      <c r="I575" s="268"/>
      <c r="J575" s="267"/>
      <c r="K575" s="269"/>
      <c r="L575" s="269"/>
      <c r="M575" s="273"/>
      <c r="N575" s="274"/>
    </row>
    <row r="576" spans="1:14" s="271" customFormat="1" ht="12.75" x14ac:dyDescent="0.25">
      <c r="A576" s="266"/>
      <c r="B576" s="269"/>
      <c r="C576" s="269"/>
      <c r="D576" s="255"/>
      <c r="E576" s="547"/>
      <c r="F576" s="548"/>
      <c r="G576" s="330"/>
      <c r="H576" s="268"/>
      <c r="I576" s="268"/>
      <c r="J576" s="267"/>
      <c r="K576" s="269"/>
      <c r="L576" s="269"/>
      <c r="M576" s="273"/>
      <c r="N576" s="274"/>
    </row>
    <row r="577" spans="1:14" s="271" customFormat="1" ht="12.75" x14ac:dyDescent="0.25">
      <c r="A577" s="266"/>
      <c r="B577" s="269"/>
      <c r="C577" s="269"/>
      <c r="D577" s="255"/>
      <c r="E577" s="547"/>
      <c r="F577" s="548"/>
      <c r="G577" s="330"/>
      <c r="H577" s="268"/>
      <c r="I577" s="268"/>
      <c r="J577" s="267"/>
      <c r="K577" s="269"/>
      <c r="L577" s="269"/>
      <c r="M577" s="273"/>
      <c r="N577" s="274"/>
    </row>
    <row r="578" spans="1:14" s="271" customFormat="1" ht="12.75" x14ac:dyDescent="0.25">
      <c r="A578" s="266"/>
      <c r="B578" s="269"/>
      <c r="C578" s="269"/>
      <c r="D578" s="255"/>
      <c r="E578" s="547"/>
      <c r="F578" s="548"/>
      <c r="G578" s="330"/>
      <c r="H578" s="268"/>
      <c r="I578" s="268"/>
      <c r="J578" s="267"/>
      <c r="K578" s="269"/>
      <c r="L578" s="269"/>
      <c r="M578" s="273"/>
      <c r="N578" s="274"/>
    </row>
    <row r="579" spans="1:14" s="271" customFormat="1" ht="12.75" x14ac:dyDescent="0.25">
      <c r="A579" s="266"/>
      <c r="B579" s="269"/>
      <c r="C579" s="269"/>
      <c r="D579" s="255"/>
      <c r="E579" s="547"/>
      <c r="F579" s="548"/>
      <c r="G579" s="330"/>
      <c r="H579" s="268"/>
      <c r="I579" s="268"/>
      <c r="J579" s="267"/>
      <c r="K579" s="269"/>
      <c r="L579" s="269"/>
      <c r="M579" s="273"/>
      <c r="N579" s="274"/>
    </row>
    <row r="580" spans="1:14" s="271" customFormat="1" ht="12.75" x14ac:dyDescent="0.25">
      <c r="A580" s="266"/>
      <c r="B580" s="269"/>
      <c r="C580" s="269"/>
      <c r="D580" s="255"/>
      <c r="E580" s="547"/>
      <c r="F580" s="548"/>
      <c r="G580" s="330"/>
      <c r="H580" s="268"/>
      <c r="I580" s="268"/>
      <c r="J580" s="267"/>
      <c r="K580" s="269"/>
      <c r="L580" s="269"/>
      <c r="M580" s="273"/>
      <c r="N580" s="274"/>
    </row>
  </sheetData>
  <mergeCells count="112">
    <mergeCell ref="E381:F381"/>
    <mergeCell ref="E382:F382"/>
    <mergeCell ref="E383:F383"/>
    <mergeCell ref="E384:F384"/>
    <mergeCell ref="E320:F320"/>
    <mergeCell ref="E321:F321"/>
    <mergeCell ref="E322:F322"/>
    <mergeCell ref="E131:F131"/>
    <mergeCell ref="E134:F134"/>
    <mergeCell ref="E135:F135"/>
    <mergeCell ref="E315:F315"/>
    <mergeCell ref="E316:F316"/>
    <mergeCell ref="E317:F317"/>
    <mergeCell ref="E318:F318"/>
    <mergeCell ref="E319:F319"/>
    <mergeCell ref="E580:F580"/>
    <mergeCell ref="E575:F575"/>
    <mergeCell ref="E576:F576"/>
    <mergeCell ref="E577:F577"/>
    <mergeCell ref="E578:F578"/>
    <mergeCell ref="E579:F579"/>
    <mergeCell ref="E570:F570"/>
    <mergeCell ref="E571:F571"/>
    <mergeCell ref="E572:F572"/>
    <mergeCell ref="E573:F573"/>
    <mergeCell ref="E574:F574"/>
    <mergeCell ref="E565:F565"/>
    <mergeCell ref="E566:F566"/>
    <mergeCell ref="E567:F567"/>
    <mergeCell ref="E568:F568"/>
    <mergeCell ref="E569:F569"/>
    <mergeCell ref="E560:F560"/>
    <mergeCell ref="E561:F561"/>
    <mergeCell ref="E562:F562"/>
    <mergeCell ref="E563:F563"/>
    <mergeCell ref="E564:F564"/>
    <mergeCell ref="E555:F555"/>
    <mergeCell ref="E556:F556"/>
    <mergeCell ref="E557:F557"/>
    <mergeCell ref="E558:F558"/>
    <mergeCell ref="E559:F559"/>
    <mergeCell ref="E550:F550"/>
    <mergeCell ref="E551:F551"/>
    <mergeCell ref="E552:F552"/>
    <mergeCell ref="E553:F553"/>
    <mergeCell ref="E554:F554"/>
    <mergeCell ref="E546:F546"/>
    <mergeCell ref="E547:F547"/>
    <mergeCell ref="E548:F548"/>
    <mergeCell ref="E549:F549"/>
    <mergeCell ref="E540:F540"/>
    <mergeCell ref="E541:F541"/>
    <mergeCell ref="E542:F542"/>
    <mergeCell ref="E543:F543"/>
    <mergeCell ref="E544:F544"/>
    <mergeCell ref="E537:F537"/>
    <mergeCell ref="E538:F538"/>
    <mergeCell ref="E539:F539"/>
    <mergeCell ref="E530:F530"/>
    <mergeCell ref="E531:F531"/>
    <mergeCell ref="E532:F532"/>
    <mergeCell ref="E533:F533"/>
    <mergeCell ref="E534:F534"/>
    <mergeCell ref="E545:F545"/>
    <mergeCell ref="E528:F528"/>
    <mergeCell ref="E529:F529"/>
    <mergeCell ref="E520:F520"/>
    <mergeCell ref="E521:F521"/>
    <mergeCell ref="E522:F522"/>
    <mergeCell ref="E523:F523"/>
    <mergeCell ref="E524:F524"/>
    <mergeCell ref="E535:F535"/>
    <mergeCell ref="E536:F536"/>
    <mergeCell ref="E515:F515"/>
    <mergeCell ref="E516:F516"/>
    <mergeCell ref="E517:F517"/>
    <mergeCell ref="E518:F518"/>
    <mergeCell ref="E519:F519"/>
    <mergeCell ref="E514:F514"/>
    <mergeCell ref="E525:F525"/>
    <mergeCell ref="E526:F526"/>
    <mergeCell ref="E527:F527"/>
    <mergeCell ref="E375:F375"/>
    <mergeCell ref="E376:F376"/>
    <mergeCell ref="E377:F377"/>
    <mergeCell ref="E378:F378"/>
    <mergeCell ref="E313:F313"/>
    <mergeCell ref="E314:F314"/>
    <mergeCell ref="E256:F256"/>
    <mergeCell ref="A1:A2"/>
    <mergeCell ref="B1:B2"/>
    <mergeCell ref="C1:C2"/>
    <mergeCell ref="D1:D2"/>
    <mergeCell ref="E1:H1"/>
    <mergeCell ref="E338:F338"/>
    <mergeCell ref="E339:F339"/>
    <mergeCell ref="E340:F340"/>
    <mergeCell ref="E341:F341"/>
    <mergeCell ref="E342:F342"/>
    <mergeCell ref="E343:F343"/>
    <mergeCell ref="E344:F344"/>
    <mergeCell ref="E345:F345"/>
    <mergeCell ref="E346:F346"/>
    <mergeCell ref="K1:K2"/>
    <mergeCell ref="L1:L2"/>
    <mergeCell ref="J1:J2"/>
    <mergeCell ref="E51:F51"/>
    <mergeCell ref="E370:F370"/>
    <mergeCell ref="E371:F371"/>
    <mergeCell ref="E372:F372"/>
    <mergeCell ref="E373:F373"/>
    <mergeCell ref="E374:F374"/>
  </mergeCells>
  <hyperlinks>
    <hyperlink ref="M181" r:id="rId1" display="https://www.cad-steel.com/steel-sections/hss-shapes-rectangular-and-square" xr:uid="{25B5E6A1-4F22-4636-865E-7A96720040FE}"/>
  </hyperlinks>
  <pageMargins left="0.7" right="0.7" top="0.75" bottom="0.75" header="0.3" footer="0.3"/>
  <pageSetup orientation="portrait"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C1865-6886-4CCC-9972-F206C7825BB0}">
  <dimension ref="A1:N240"/>
  <sheetViews>
    <sheetView topLeftCell="A100" workbookViewId="0">
      <selection activeCell="I111" sqref="I111"/>
    </sheetView>
  </sheetViews>
  <sheetFormatPr defaultRowHeight="15" x14ac:dyDescent="0.25"/>
  <cols>
    <col min="2" max="2" width="22.85546875" bestFit="1" customWidth="1"/>
    <col min="3" max="3" width="23.28515625" customWidth="1"/>
  </cols>
  <sheetData>
    <row r="1" spans="1:14" s="290" customFormat="1" ht="12.75" x14ac:dyDescent="0.25">
      <c r="A1" s="286"/>
      <c r="B1" s="245"/>
      <c r="C1" s="245"/>
      <c r="D1" s="275"/>
      <c r="E1" s="268"/>
      <c r="F1" s="275"/>
      <c r="G1" s="329"/>
      <c r="H1" s="275"/>
      <c r="I1" s="275"/>
      <c r="J1" s="286"/>
      <c r="K1" s="245"/>
      <c r="L1" s="245"/>
      <c r="M1" s="288"/>
      <c r="N1" s="289"/>
    </row>
    <row r="2" spans="1:14" s="365" customFormat="1" ht="12.75" x14ac:dyDescent="0.25">
      <c r="A2" s="362"/>
      <c r="B2" s="280" t="s">
        <v>13</v>
      </c>
      <c r="C2" s="362"/>
      <c r="D2" s="362"/>
      <c r="E2" s="363"/>
      <c r="F2" s="363"/>
      <c r="G2" s="363"/>
      <c r="H2" s="363"/>
      <c r="I2" s="363">
        <f>+SUM(I4:I18)</f>
        <v>152.4487037037037</v>
      </c>
      <c r="J2" s="362" t="s">
        <v>382</v>
      </c>
      <c r="K2" s="363"/>
      <c r="L2" s="364"/>
    </row>
    <row r="3" spans="1:14" s="290" customFormat="1" ht="12.75" x14ac:dyDescent="0.25">
      <c r="A3" s="286"/>
      <c r="B3" s="245" t="s">
        <v>381</v>
      </c>
      <c r="C3" s="245"/>
      <c r="D3" s="275"/>
      <c r="E3" s="275"/>
      <c r="F3" s="275"/>
      <c r="G3" s="329"/>
      <c r="H3" s="275"/>
      <c r="I3" s="275"/>
      <c r="J3" s="286"/>
      <c r="K3" s="245"/>
      <c r="L3" s="245"/>
      <c r="M3" s="288"/>
      <c r="N3" s="289"/>
    </row>
    <row r="4" spans="1:14" s="290" customFormat="1" ht="12.75" x14ac:dyDescent="0.25">
      <c r="A4" s="286"/>
      <c r="B4" s="245" t="s">
        <v>330</v>
      </c>
      <c r="C4" s="245"/>
      <c r="D4" s="275">
        <v>2</v>
      </c>
      <c r="E4" s="275">
        <v>15.3</v>
      </c>
      <c r="F4" s="275">
        <f>2.5+1+1</f>
        <v>4.5</v>
      </c>
      <c r="G4" s="329">
        <f>4.5</f>
        <v>4.5</v>
      </c>
      <c r="H4" s="275">
        <f>PRODUCT(D4:G4)</f>
        <v>619.65000000000009</v>
      </c>
      <c r="I4" s="275">
        <f>H4/27</f>
        <v>22.950000000000003</v>
      </c>
      <c r="J4" s="286" t="s">
        <v>382</v>
      </c>
      <c r="K4" s="245"/>
      <c r="L4" s="245"/>
      <c r="M4" s="288"/>
      <c r="N4" s="289"/>
    </row>
    <row r="5" spans="1:14" s="290" customFormat="1" ht="12.75" x14ac:dyDescent="0.25">
      <c r="A5" s="286"/>
      <c r="B5" s="245" t="s">
        <v>331</v>
      </c>
      <c r="C5" s="245"/>
      <c r="D5" s="275">
        <v>2</v>
      </c>
      <c r="E5" s="275">
        <v>7.58</v>
      </c>
      <c r="F5" s="275">
        <f>F4</f>
        <v>4.5</v>
      </c>
      <c r="G5" s="329">
        <f>4.5</f>
        <v>4.5</v>
      </c>
      <c r="H5" s="275">
        <f>PRODUCT(D5:G5)</f>
        <v>306.99</v>
      </c>
      <c r="I5" s="275">
        <f>H5/27</f>
        <v>11.370000000000001</v>
      </c>
      <c r="J5" s="286" t="s">
        <v>382</v>
      </c>
      <c r="K5" s="245"/>
      <c r="L5" s="245"/>
      <c r="M5" s="288"/>
      <c r="N5" s="289"/>
    </row>
    <row r="6" spans="1:14" s="290" customFormat="1" ht="12.75" x14ac:dyDescent="0.25">
      <c r="A6" s="286"/>
      <c r="B6" s="245" t="s">
        <v>389</v>
      </c>
      <c r="C6" s="245"/>
      <c r="D6" s="275"/>
      <c r="E6" s="275"/>
      <c r="F6" s="275"/>
      <c r="G6" s="329"/>
      <c r="H6" s="275"/>
      <c r="I6" s="275"/>
      <c r="J6" s="286"/>
      <c r="K6" s="245"/>
      <c r="L6" s="245"/>
      <c r="M6" s="288"/>
      <c r="N6" s="289"/>
    </row>
    <row r="7" spans="1:14" s="290" customFormat="1" ht="12.75" x14ac:dyDescent="0.25">
      <c r="A7" s="286"/>
      <c r="B7" s="245" t="s">
        <v>330</v>
      </c>
      <c r="C7" s="245" t="s">
        <v>388</v>
      </c>
      <c r="D7" s="275">
        <v>2</v>
      </c>
      <c r="E7" s="275">
        <v>8.92</v>
      </c>
      <c r="F7" s="275">
        <f>2.5+1+1</f>
        <v>4.5</v>
      </c>
      <c r="G7" s="329">
        <f>4.5</f>
        <v>4.5</v>
      </c>
      <c r="H7" s="275">
        <f>PRODUCT(D7:G7)</f>
        <v>361.26</v>
      </c>
      <c r="I7" s="275">
        <f>H7/27</f>
        <v>13.379999999999999</v>
      </c>
      <c r="J7" s="286" t="s">
        <v>382</v>
      </c>
      <c r="K7" s="245"/>
      <c r="L7" s="245"/>
      <c r="M7" s="288"/>
      <c r="N7" s="289"/>
    </row>
    <row r="8" spans="1:14" s="290" customFormat="1" ht="12.75" x14ac:dyDescent="0.25">
      <c r="A8" s="286"/>
      <c r="B8" s="245" t="s">
        <v>331</v>
      </c>
      <c r="C8" s="245" t="s">
        <v>388</v>
      </c>
      <c r="D8" s="275">
        <v>2</v>
      </c>
      <c r="E8" s="275">
        <v>13.57</v>
      </c>
      <c r="F8" s="275">
        <f>F7</f>
        <v>4.5</v>
      </c>
      <c r="G8" s="329">
        <f>4.5</f>
        <v>4.5</v>
      </c>
      <c r="H8" s="275">
        <f>PRODUCT(D8:G8)</f>
        <v>549.58500000000004</v>
      </c>
      <c r="I8" s="275">
        <f>H8/27</f>
        <v>20.355</v>
      </c>
      <c r="J8" s="286" t="s">
        <v>382</v>
      </c>
      <c r="K8" s="245"/>
      <c r="L8" s="245"/>
      <c r="M8" s="288"/>
      <c r="N8" s="289"/>
    </row>
    <row r="9" spans="1:14" s="290" customFormat="1" ht="12.75" x14ac:dyDescent="0.25">
      <c r="A9" s="286"/>
      <c r="B9" s="245" t="s">
        <v>331</v>
      </c>
      <c r="C9" s="245" t="s">
        <v>388</v>
      </c>
      <c r="D9" s="275">
        <v>1</v>
      </c>
      <c r="E9" s="275">
        <v>8.92</v>
      </c>
      <c r="F9" s="275">
        <f>F8</f>
        <v>4.5</v>
      </c>
      <c r="G9" s="329">
        <f>4.5</f>
        <v>4.5</v>
      </c>
      <c r="H9" s="275">
        <f>PRODUCT(D9:G9)</f>
        <v>180.63</v>
      </c>
      <c r="I9" s="275">
        <f>H9/27</f>
        <v>6.6899999999999995</v>
      </c>
      <c r="J9" s="286" t="s">
        <v>382</v>
      </c>
      <c r="K9" s="245"/>
      <c r="L9" s="245"/>
      <c r="M9" s="288"/>
      <c r="N9" s="289"/>
    </row>
    <row r="10" spans="1:14" s="290" customFormat="1" ht="12.75" x14ac:dyDescent="0.25">
      <c r="A10" s="286"/>
      <c r="B10" s="245"/>
      <c r="C10" s="245"/>
      <c r="D10" s="275"/>
      <c r="E10" s="275"/>
      <c r="F10" s="275"/>
      <c r="G10" s="329"/>
      <c r="H10" s="275"/>
      <c r="I10" s="275"/>
      <c r="J10" s="286"/>
      <c r="K10" s="245"/>
      <c r="L10" s="245"/>
      <c r="M10" s="288"/>
      <c r="N10" s="289"/>
    </row>
    <row r="11" spans="1:14" s="290" customFormat="1" ht="12.75" x14ac:dyDescent="0.25">
      <c r="A11" s="286"/>
      <c r="B11" s="245" t="s">
        <v>383</v>
      </c>
      <c r="C11" s="245"/>
      <c r="D11" s="275">
        <v>1</v>
      </c>
      <c r="E11" s="275">
        <v>8.67</v>
      </c>
      <c r="F11" s="275">
        <f>2.5+1+1</f>
        <v>4.5</v>
      </c>
      <c r="G11" s="329">
        <v>4</v>
      </c>
      <c r="H11" s="275">
        <f>PRODUCT(D11:G11)</f>
        <v>156.06</v>
      </c>
      <c r="I11" s="275">
        <f>H11/27</f>
        <v>5.78</v>
      </c>
      <c r="J11" s="286" t="s">
        <v>382</v>
      </c>
      <c r="K11" s="245"/>
      <c r="L11" s="245"/>
      <c r="M11" s="288"/>
      <c r="N11" s="289"/>
    </row>
    <row r="12" spans="1:14" s="290" customFormat="1" ht="12.75" x14ac:dyDescent="0.25">
      <c r="A12" s="286"/>
      <c r="B12" s="245"/>
      <c r="C12" s="245"/>
      <c r="D12" s="275">
        <v>1</v>
      </c>
      <c r="E12" s="275">
        <v>26.33</v>
      </c>
      <c r="F12" s="275">
        <f>2.5+1+1</f>
        <v>4.5</v>
      </c>
      <c r="G12" s="329">
        <v>4</v>
      </c>
      <c r="H12" s="275">
        <f>PRODUCT(D12:G12)</f>
        <v>473.93999999999994</v>
      </c>
      <c r="I12" s="275">
        <f>H12/27</f>
        <v>17.553333333333331</v>
      </c>
      <c r="J12" s="286" t="s">
        <v>382</v>
      </c>
      <c r="K12" s="245"/>
      <c r="L12" s="245"/>
      <c r="M12" s="288"/>
      <c r="N12" s="289"/>
    </row>
    <row r="13" spans="1:14" s="290" customFormat="1" ht="12.75" x14ac:dyDescent="0.25">
      <c r="A13" s="286"/>
      <c r="B13" s="245"/>
      <c r="C13" s="245"/>
      <c r="D13" s="275">
        <v>1</v>
      </c>
      <c r="E13" s="275">
        <v>9.17</v>
      </c>
      <c r="F13" s="275">
        <f>2.5+1+1</f>
        <v>4.5</v>
      </c>
      <c r="G13" s="329">
        <v>4</v>
      </c>
      <c r="H13" s="275">
        <f>PRODUCT(D13:G13)</f>
        <v>165.06</v>
      </c>
      <c r="I13" s="275">
        <f>H13/27</f>
        <v>6.1133333333333333</v>
      </c>
      <c r="J13" s="286" t="s">
        <v>382</v>
      </c>
      <c r="K13" s="245"/>
      <c r="L13" s="245"/>
      <c r="M13" s="288"/>
      <c r="N13" s="289"/>
    </row>
    <row r="14" spans="1:14" s="290" customFormat="1" ht="12.75" x14ac:dyDescent="0.25">
      <c r="A14" s="286"/>
      <c r="B14" s="245"/>
      <c r="C14" s="245"/>
      <c r="D14" s="275">
        <v>1</v>
      </c>
      <c r="E14" s="275">
        <v>4.33</v>
      </c>
      <c r="F14" s="275">
        <f>2.5+1+1</f>
        <v>4.5</v>
      </c>
      <c r="G14" s="329">
        <v>4</v>
      </c>
      <c r="H14" s="275">
        <f>PRODUCT(D14:G14)</f>
        <v>77.94</v>
      </c>
      <c r="I14" s="275">
        <f>H14/27</f>
        <v>2.8866666666666667</v>
      </c>
      <c r="J14" s="286" t="s">
        <v>382</v>
      </c>
      <c r="K14" s="245"/>
      <c r="L14" s="245"/>
      <c r="M14" s="288"/>
      <c r="N14" s="289"/>
    </row>
    <row r="15" spans="1:14" s="290" customFormat="1" ht="12.75" x14ac:dyDescent="0.25">
      <c r="A15" s="286"/>
      <c r="B15" s="245"/>
      <c r="C15" s="245"/>
      <c r="D15" s="275"/>
      <c r="E15" s="275"/>
      <c r="F15" s="275"/>
      <c r="G15" s="329"/>
      <c r="H15" s="275"/>
      <c r="I15" s="275"/>
      <c r="J15" s="286"/>
      <c r="K15" s="245"/>
      <c r="L15" s="245"/>
      <c r="M15" s="288"/>
      <c r="N15" s="289"/>
    </row>
    <row r="16" spans="1:14" s="290" customFormat="1" ht="12.75" x14ac:dyDescent="0.25">
      <c r="A16" s="286"/>
      <c r="B16" s="245" t="s">
        <v>384</v>
      </c>
      <c r="C16" s="245"/>
      <c r="D16" s="275"/>
      <c r="E16" s="275"/>
      <c r="F16" s="275"/>
      <c r="G16" s="329"/>
      <c r="H16" s="275"/>
      <c r="I16" s="275"/>
      <c r="J16" s="286"/>
      <c r="K16" s="245"/>
      <c r="L16" s="245"/>
      <c r="M16" s="288"/>
      <c r="N16" s="289"/>
    </row>
    <row r="17" spans="1:14" s="290" customFormat="1" ht="12.75" x14ac:dyDescent="0.25">
      <c r="A17" s="286"/>
      <c r="B17" s="245" t="s">
        <v>385</v>
      </c>
      <c r="C17" s="245" t="s">
        <v>386</v>
      </c>
      <c r="D17" s="275">
        <v>2</v>
      </c>
      <c r="E17" s="275">
        <f>21+4/12</f>
        <v>21.333333333333332</v>
      </c>
      <c r="F17" s="275">
        <f>2.5+1+1</f>
        <v>4.5</v>
      </c>
      <c r="G17" s="329">
        <f>4+2/12</f>
        <v>4.166666666666667</v>
      </c>
      <c r="H17" s="275">
        <f>PRODUCT(D17:G17)</f>
        <v>800</v>
      </c>
      <c r="I17" s="275">
        <f>H17/27</f>
        <v>29.62962962962963</v>
      </c>
      <c r="J17" s="286" t="s">
        <v>382</v>
      </c>
      <c r="K17" s="245"/>
      <c r="L17" s="245"/>
      <c r="M17" s="288"/>
      <c r="N17" s="289"/>
    </row>
    <row r="18" spans="1:14" s="290" customFormat="1" ht="12.75" x14ac:dyDescent="0.25">
      <c r="A18" s="286"/>
      <c r="B18" s="245" t="s">
        <v>325</v>
      </c>
      <c r="C18" s="245" t="s">
        <v>387</v>
      </c>
      <c r="D18" s="275">
        <v>2</v>
      </c>
      <c r="E18" s="275">
        <f>11+4/12</f>
        <v>11.333333333333334</v>
      </c>
      <c r="F18" s="275">
        <f>2.5+1+1</f>
        <v>4.5</v>
      </c>
      <c r="G18" s="329">
        <f>4+2/12</f>
        <v>4.166666666666667</v>
      </c>
      <c r="H18" s="275">
        <f>PRODUCT(D18:G18)</f>
        <v>425.00000000000006</v>
      </c>
      <c r="I18" s="275">
        <f>H18/27</f>
        <v>15.740740740740742</v>
      </c>
      <c r="J18" s="286" t="s">
        <v>382</v>
      </c>
      <c r="K18" s="245"/>
      <c r="L18" s="245"/>
      <c r="M18" s="288"/>
      <c r="N18" s="289"/>
    </row>
    <row r="19" spans="1:14" s="290" customFormat="1" ht="12.75" x14ac:dyDescent="0.25">
      <c r="A19" s="286"/>
      <c r="B19" s="245"/>
      <c r="C19" s="245"/>
      <c r="D19" s="275"/>
      <c r="E19" s="275"/>
      <c r="F19" s="275"/>
      <c r="G19" s="329"/>
      <c r="H19" s="275"/>
      <c r="I19" s="275"/>
      <c r="J19" s="286"/>
      <c r="K19" s="245"/>
      <c r="L19" s="245"/>
      <c r="M19" s="288"/>
      <c r="N19" s="289"/>
    </row>
    <row r="20" spans="1:14" s="365" customFormat="1" ht="12.75" x14ac:dyDescent="0.25">
      <c r="A20" s="362"/>
      <c r="B20" s="280" t="s">
        <v>500</v>
      </c>
      <c r="C20" s="362"/>
      <c r="D20" s="362"/>
      <c r="E20" s="363"/>
      <c r="F20" s="363"/>
      <c r="G20" s="363"/>
      <c r="H20" s="363"/>
      <c r="I20" s="363">
        <f>+SUM(I21:I32)</f>
        <v>218.77</v>
      </c>
      <c r="J20" s="362" t="s">
        <v>382</v>
      </c>
      <c r="K20" s="363"/>
      <c r="L20" s="364"/>
    </row>
    <row r="21" spans="1:14" s="290" customFormat="1" ht="14.45" customHeight="1" x14ac:dyDescent="0.25">
      <c r="A21" s="286"/>
      <c r="B21" s="245" t="s">
        <v>629</v>
      </c>
      <c r="C21" s="245"/>
      <c r="D21" s="275"/>
      <c r="E21" s="558">
        <v>48.66</v>
      </c>
      <c r="F21" s="559"/>
      <c r="G21" s="329">
        <f t="shared" ref="G21:G25" si="0">4.5</f>
        <v>4.5</v>
      </c>
      <c r="H21" s="275">
        <f>E21*G21</f>
        <v>218.96999999999997</v>
      </c>
      <c r="I21" s="275">
        <f>H21/27</f>
        <v>8.11</v>
      </c>
      <c r="J21" s="286"/>
      <c r="K21" s="245"/>
      <c r="L21" s="245"/>
      <c r="M21" s="288"/>
      <c r="N21" s="289"/>
    </row>
    <row r="22" spans="1:14" s="290" customFormat="1" ht="12.75" x14ac:dyDescent="0.25">
      <c r="A22" s="286"/>
      <c r="B22" s="245"/>
      <c r="C22" s="245"/>
      <c r="D22" s="275"/>
      <c r="E22" s="558">
        <v>32.299999999999997</v>
      </c>
      <c r="F22" s="559"/>
      <c r="G22" s="329">
        <f t="shared" si="0"/>
        <v>4.5</v>
      </c>
      <c r="H22" s="275">
        <f t="shared" ref="H22:H24" si="1">E22*G22</f>
        <v>145.35</v>
      </c>
      <c r="I22" s="275">
        <f>H22/27</f>
        <v>5.3833333333333329</v>
      </c>
      <c r="J22" s="286"/>
      <c r="K22" s="245"/>
      <c r="L22" s="245"/>
      <c r="M22" s="288"/>
      <c r="N22" s="289"/>
    </row>
    <row r="23" spans="1:14" s="290" customFormat="1" ht="12.75" x14ac:dyDescent="0.25">
      <c r="A23" s="286"/>
      <c r="B23" s="245"/>
      <c r="C23" s="245"/>
      <c r="D23" s="275"/>
      <c r="E23" s="558">
        <v>105.84</v>
      </c>
      <c r="F23" s="559"/>
      <c r="G23" s="329">
        <f t="shared" si="0"/>
        <v>4.5</v>
      </c>
      <c r="H23" s="275">
        <f t="shared" si="1"/>
        <v>476.28000000000003</v>
      </c>
      <c r="I23" s="275">
        <f>H23/27</f>
        <v>17.64</v>
      </c>
      <c r="J23" s="286"/>
      <c r="K23" s="245"/>
      <c r="L23" s="245"/>
      <c r="M23" s="288"/>
      <c r="N23" s="289"/>
    </row>
    <row r="24" spans="1:14" s="290" customFormat="1" ht="12.75" x14ac:dyDescent="0.25">
      <c r="A24" s="286"/>
      <c r="B24" s="245"/>
      <c r="C24" s="245"/>
      <c r="D24" s="275"/>
      <c r="E24" s="558">
        <v>356.36</v>
      </c>
      <c r="F24" s="559"/>
      <c r="G24" s="329">
        <f t="shared" si="0"/>
        <v>4.5</v>
      </c>
      <c r="H24" s="275">
        <f t="shared" si="1"/>
        <v>1603.6200000000001</v>
      </c>
      <c r="I24" s="275">
        <f>H24/27</f>
        <v>59.393333333333338</v>
      </c>
      <c r="J24" s="286"/>
      <c r="K24" s="245"/>
      <c r="L24" s="245"/>
      <c r="M24" s="288"/>
      <c r="N24" s="289"/>
    </row>
    <row r="25" spans="1:14" s="290" customFormat="1" ht="12.75" x14ac:dyDescent="0.25">
      <c r="A25" s="286"/>
      <c r="B25" s="245"/>
      <c r="C25" s="245"/>
      <c r="D25" s="275"/>
      <c r="E25" s="558">
        <v>44.63</v>
      </c>
      <c r="F25" s="559"/>
      <c r="G25" s="329">
        <f t="shared" si="0"/>
        <v>4.5</v>
      </c>
      <c r="H25" s="275">
        <f t="shared" ref="H25" si="2">E25*G25</f>
        <v>200.83500000000001</v>
      </c>
      <c r="I25" s="275">
        <f>H25/27</f>
        <v>7.4383333333333335</v>
      </c>
      <c r="J25" s="286"/>
      <c r="K25" s="245"/>
      <c r="L25" s="245"/>
      <c r="M25" s="288"/>
      <c r="N25" s="289"/>
    </row>
    <row r="26" spans="1:14" s="365" customFormat="1" ht="12.75" x14ac:dyDescent="0.25">
      <c r="A26" s="362"/>
      <c r="B26" s="280" t="s">
        <v>450</v>
      </c>
      <c r="C26" s="362"/>
      <c r="D26" s="362"/>
      <c r="E26" s="363"/>
      <c r="F26" s="363"/>
      <c r="G26" s="363"/>
      <c r="H26" s="363"/>
      <c r="I26" s="363"/>
      <c r="J26" s="362"/>
      <c r="K26" s="363"/>
      <c r="L26" s="364"/>
    </row>
    <row r="27" spans="1:14" s="290" customFormat="1" ht="12.75" x14ac:dyDescent="0.25">
      <c r="A27" s="286"/>
      <c r="B27" s="245" t="s">
        <v>631</v>
      </c>
      <c r="C27" s="267"/>
      <c r="D27" s="255">
        <v>1</v>
      </c>
      <c r="E27" s="268">
        <v>19.329999999999998</v>
      </c>
      <c r="F27" s="268">
        <v>10</v>
      </c>
      <c r="G27" s="268">
        <f>10.25-6.8</f>
        <v>3.45</v>
      </c>
      <c r="H27" s="255">
        <f>PRODUCT(D27:G27)</f>
        <v>666.88499999999999</v>
      </c>
      <c r="I27" s="255">
        <f>H27/27</f>
        <v>24.699444444444445</v>
      </c>
      <c r="J27" s="286"/>
      <c r="K27" s="245"/>
      <c r="L27" s="245"/>
      <c r="M27" s="288"/>
      <c r="N27" s="289"/>
    </row>
    <row r="28" spans="1:14" s="290" customFormat="1" ht="12.75" x14ac:dyDescent="0.25">
      <c r="A28" s="286"/>
      <c r="B28" s="245" t="s">
        <v>632</v>
      </c>
      <c r="C28" s="267"/>
      <c r="D28" s="255">
        <v>1</v>
      </c>
      <c r="E28" s="268">
        <f>22+22+12+12</f>
        <v>68</v>
      </c>
      <c r="F28" s="268">
        <f>2+3/12</f>
        <v>2.25</v>
      </c>
      <c r="G28" s="268">
        <f>G27</f>
        <v>3.45</v>
      </c>
      <c r="H28" s="255">
        <f>PRODUCT(D28:G28)</f>
        <v>527.85</v>
      </c>
      <c r="I28" s="255">
        <f>H28/27</f>
        <v>19.55</v>
      </c>
      <c r="J28" s="286"/>
      <c r="K28" s="245"/>
      <c r="L28" s="245"/>
      <c r="M28" s="288"/>
      <c r="N28" s="289"/>
    </row>
    <row r="29" spans="1:14" s="290" customFormat="1" ht="12.75" x14ac:dyDescent="0.25">
      <c r="A29" s="286"/>
      <c r="B29" s="245"/>
      <c r="C29" s="245"/>
      <c r="D29" s="275"/>
      <c r="E29" s="275"/>
      <c r="F29" s="275"/>
      <c r="G29" s="329"/>
      <c r="H29" s="275"/>
      <c r="I29" s="275"/>
      <c r="J29" s="286"/>
      <c r="K29" s="245"/>
      <c r="L29" s="245"/>
      <c r="M29" s="288"/>
    </row>
    <row r="30" spans="1:14" s="290" customFormat="1" ht="12.75" x14ac:dyDescent="0.25">
      <c r="A30" s="286"/>
      <c r="B30" s="245"/>
      <c r="C30" s="245"/>
      <c r="D30" s="275"/>
      <c r="E30" s="275"/>
      <c r="F30" s="275"/>
      <c r="G30" s="329"/>
      <c r="H30" s="275"/>
      <c r="I30" s="275"/>
      <c r="J30" s="286"/>
      <c r="K30" s="245"/>
      <c r="L30" s="245"/>
      <c r="M30" s="288"/>
    </row>
    <row r="31" spans="1:14" s="290" customFormat="1" ht="12.75" x14ac:dyDescent="0.25">
      <c r="A31" s="286"/>
      <c r="B31" s="245" t="s">
        <v>630</v>
      </c>
      <c r="C31" s="245"/>
      <c r="D31" s="275"/>
      <c r="E31" s="275">
        <f>28.8333333333333</f>
        <v>28.833333333333332</v>
      </c>
      <c r="F31" s="329">
        <f>5+1.5+1.5</f>
        <v>8</v>
      </c>
      <c r="G31" s="329">
        <v>4.5</v>
      </c>
      <c r="H31" s="275">
        <f>E31*F31*G31</f>
        <v>1038</v>
      </c>
      <c r="I31" s="275">
        <f>H31/27</f>
        <v>38.444444444444443</v>
      </c>
      <c r="J31" s="286"/>
      <c r="K31" s="245"/>
      <c r="L31" s="245"/>
      <c r="M31" s="288"/>
    </row>
    <row r="32" spans="1:14" s="290" customFormat="1" ht="12.75" x14ac:dyDescent="0.25">
      <c r="A32" s="286"/>
      <c r="B32" s="245"/>
      <c r="C32" s="245"/>
      <c r="D32" s="275"/>
      <c r="E32" s="275">
        <f>28.5833333333333</f>
        <v>28.583333333333332</v>
      </c>
      <c r="F32" s="329">
        <f>5+1.5+1.5</f>
        <v>8</v>
      </c>
      <c r="G32" s="329">
        <v>4.5</v>
      </c>
      <c r="H32" s="275">
        <f>E32*F32*G32</f>
        <v>1029</v>
      </c>
      <c r="I32" s="275">
        <f>H32/27</f>
        <v>38.111111111111114</v>
      </c>
      <c r="J32" s="286"/>
      <c r="K32" s="245"/>
      <c r="L32" s="245"/>
      <c r="M32" s="288"/>
    </row>
    <row r="33" spans="1:14" s="290" customFormat="1" ht="12.75" x14ac:dyDescent="0.25">
      <c r="A33" s="286"/>
      <c r="B33" s="245"/>
      <c r="C33" s="245"/>
      <c r="D33" s="275"/>
      <c r="E33" s="275"/>
      <c r="F33" s="275"/>
      <c r="G33" s="329"/>
      <c r="H33" s="275"/>
      <c r="I33" s="275"/>
      <c r="J33" s="286"/>
      <c r="K33" s="245"/>
      <c r="L33" s="245"/>
      <c r="M33" s="288"/>
    </row>
    <row r="34" spans="1:14" s="365" customFormat="1" ht="12.75" x14ac:dyDescent="0.25">
      <c r="A34" s="362">
        <f>A26+1</f>
        <v>1</v>
      </c>
      <c r="B34" s="280" t="s">
        <v>501</v>
      </c>
      <c r="C34" s="362"/>
      <c r="D34" s="362"/>
      <c r="E34" s="363"/>
      <c r="F34" s="363"/>
      <c r="G34" s="363"/>
      <c r="H34" s="363"/>
      <c r="I34" s="363">
        <f>SUM(H35:H39)</f>
        <v>1061.2750000000001</v>
      </c>
      <c r="J34" s="362" t="s">
        <v>368</v>
      </c>
      <c r="K34" s="363"/>
      <c r="L34" s="364"/>
    </row>
    <row r="35" spans="1:14" s="290" customFormat="1" ht="14.45" customHeight="1" x14ac:dyDescent="0.25">
      <c r="A35" s="286"/>
      <c r="B35" s="245" t="s">
        <v>634</v>
      </c>
      <c r="C35" s="245"/>
      <c r="D35" s="275">
        <v>1</v>
      </c>
      <c r="E35" s="558">
        <f>39.77+23.19+226.47+89.92</f>
        <v>379.35</v>
      </c>
      <c r="F35" s="559"/>
      <c r="G35" s="329"/>
      <c r="H35" s="255">
        <f>E35</f>
        <v>379.35</v>
      </c>
      <c r="I35" s="275">
        <f>H35</f>
        <v>379.35</v>
      </c>
      <c r="J35" s="286"/>
      <c r="K35" s="245"/>
      <c r="L35" s="245"/>
      <c r="M35" s="288"/>
      <c r="N35" s="289"/>
    </row>
    <row r="36" spans="1:14" s="290" customFormat="1" ht="12.75" x14ac:dyDescent="0.25">
      <c r="A36" s="286"/>
      <c r="B36" s="245" t="s">
        <v>632</v>
      </c>
      <c r="C36" s="245"/>
      <c r="D36" s="275">
        <v>1</v>
      </c>
      <c r="E36" s="350">
        <v>149.16666666666671</v>
      </c>
      <c r="F36" s="329">
        <v>2.25</v>
      </c>
      <c r="G36" s="329"/>
      <c r="H36" s="255">
        <f t="shared" ref="H36" si="3">PRODUCT(D36:G36)</f>
        <v>335.62500000000011</v>
      </c>
      <c r="I36" s="275">
        <f>H36/27</f>
        <v>12.430555555555559</v>
      </c>
      <c r="J36" s="286"/>
      <c r="K36" s="245"/>
      <c r="L36" s="245"/>
      <c r="M36" s="288"/>
      <c r="N36" s="289"/>
    </row>
    <row r="37" spans="1:14" s="365" customFormat="1" ht="12" x14ac:dyDescent="0.25">
      <c r="A37" s="366"/>
      <c r="B37" s="358" t="s">
        <v>450</v>
      </c>
      <c r="C37" s="359"/>
      <c r="D37" s="360"/>
      <c r="E37" s="361"/>
      <c r="F37" s="361"/>
      <c r="G37" s="361"/>
      <c r="H37" s="360"/>
      <c r="I37" s="360"/>
      <c r="J37" s="366"/>
      <c r="K37" s="368"/>
      <c r="L37" s="368"/>
    </row>
    <row r="38" spans="1:14" s="272" customFormat="1" ht="12.75" x14ac:dyDescent="0.25">
      <c r="A38" s="266"/>
      <c r="B38" s="245" t="s">
        <v>502</v>
      </c>
      <c r="C38" s="267"/>
      <c r="D38" s="255">
        <v>1</v>
      </c>
      <c r="E38" s="268">
        <v>19.329999999999998</v>
      </c>
      <c r="F38" s="268">
        <v>10</v>
      </c>
      <c r="G38" s="268"/>
      <c r="H38" s="255">
        <f>PRODUCT(D38:G38)</f>
        <v>193.29999999999998</v>
      </c>
      <c r="I38" s="255">
        <f>H38</f>
        <v>193.29999999999998</v>
      </c>
      <c r="J38" s="266"/>
      <c r="K38" s="369"/>
      <c r="L38" s="254"/>
    </row>
    <row r="39" spans="1:14" s="272" customFormat="1" ht="12.75" x14ac:dyDescent="0.25">
      <c r="A39" s="266"/>
      <c r="B39" s="245" t="s">
        <v>633</v>
      </c>
      <c r="C39" s="267"/>
      <c r="D39" s="255">
        <v>1</v>
      </c>
      <c r="E39" s="268">
        <f>22+22+12+12</f>
        <v>68</v>
      </c>
      <c r="F39" s="268">
        <f>2+3/12</f>
        <v>2.25</v>
      </c>
      <c r="G39" s="268"/>
      <c r="H39" s="255">
        <f>PRODUCT(D39:G39)</f>
        <v>153</v>
      </c>
      <c r="I39" s="255">
        <f>H39</f>
        <v>153</v>
      </c>
      <c r="J39" s="266"/>
      <c r="K39" s="369"/>
      <c r="L39" s="254"/>
    </row>
    <row r="40" spans="1:14" s="272" customFormat="1" ht="12.75" x14ac:dyDescent="0.25">
      <c r="A40" s="266"/>
      <c r="B40" s="245"/>
      <c r="C40" s="267"/>
      <c r="D40" s="255"/>
      <c r="E40" s="268"/>
      <c r="F40" s="268"/>
      <c r="G40" s="268"/>
      <c r="H40" s="255"/>
      <c r="I40" s="255"/>
      <c r="J40" s="266"/>
      <c r="K40" s="369"/>
      <c r="L40" s="254"/>
    </row>
    <row r="41" spans="1:14" s="365" customFormat="1" ht="12.75" x14ac:dyDescent="0.25">
      <c r="A41" s="362">
        <f>A34+1</f>
        <v>2</v>
      </c>
      <c r="B41" s="280" t="s">
        <v>635</v>
      </c>
      <c r="C41" s="362"/>
      <c r="D41" s="362"/>
      <c r="E41" s="363"/>
      <c r="F41" s="363"/>
      <c r="G41" s="363"/>
      <c r="H41" s="363"/>
      <c r="I41" s="363">
        <f>SUM(I42:I46)</f>
        <v>507.45</v>
      </c>
      <c r="J41" s="362" t="s">
        <v>141</v>
      </c>
      <c r="K41" s="364"/>
      <c r="L41" s="364"/>
    </row>
    <row r="42" spans="1:14" s="365" customFormat="1" ht="12" x14ac:dyDescent="0.25">
      <c r="A42" s="366"/>
      <c r="B42" s="367" t="s">
        <v>636</v>
      </c>
      <c r="C42" s="359"/>
      <c r="D42" s="360">
        <v>1</v>
      </c>
      <c r="E42" s="361">
        <v>20</v>
      </c>
      <c r="F42" s="361">
        <v>10</v>
      </c>
      <c r="G42" s="361"/>
      <c r="H42" s="360">
        <f>PRODUCT(D42:G42)</f>
        <v>200</v>
      </c>
      <c r="I42" s="360">
        <f>H42</f>
        <v>200</v>
      </c>
      <c r="J42" s="366"/>
      <c r="K42" s="368"/>
      <c r="L42" s="368"/>
    </row>
    <row r="43" spans="1:14" s="365" customFormat="1" ht="12" x14ac:dyDescent="0.25">
      <c r="A43" s="366"/>
      <c r="B43" s="367" t="s">
        <v>637</v>
      </c>
      <c r="C43" s="359"/>
      <c r="D43" s="360">
        <v>1</v>
      </c>
      <c r="E43" s="361">
        <v>7</v>
      </c>
      <c r="F43" s="361">
        <f>3+4.75</f>
        <v>7.75</v>
      </c>
      <c r="G43" s="361"/>
      <c r="H43" s="360">
        <f>PRODUCT(D43:G43)</f>
        <v>54.25</v>
      </c>
      <c r="I43" s="360">
        <f>H43</f>
        <v>54.25</v>
      </c>
      <c r="J43" s="366"/>
      <c r="K43" s="368"/>
      <c r="L43" s="368"/>
    </row>
    <row r="44" spans="1:14" s="365" customFormat="1" ht="12" x14ac:dyDescent="0.25">
      <c r="A44" s="366"/>
      <c r="B44" s="358" t="s">
        <v>450</v>
      </c>
      <c r="C44" s="359"/>
      <c r="D44" s="360"/>
      <c r="E44" s="361"/>
      <c r="F44" s="361"/>
      <c r="G44" s="361"/>
      <c r="H44" s="360"/>
      <c r="I44" s="360"/>
      <c r="J44" s="366"/>
      <c r="K44" s="368"/>
      <c r="L44" s="368"/>
    </row>
    <row r="45" spans="1:14" s="272" customFormat="1" ht="12.75" x14ac:dyDescent="0.25">
      <c r="A45" s="266"/>
      <c r="B45" s="245" t="s">
        <v>636</v>
      </c>
      <c r="C45" s="267"/>
      <c r="D45" s="255">
        <v>1</v>
      </c>
      <c r="E45" s="268">
        <v>20</v>
      </c>
      <c r="F45" s="268">
        <v>10</v>
      </c>
      <c r="G45" s="268"/>
      <c r="H45" s="255">
        <f>PRODUCT(D45:G45)</f>
        <v>200</v>
      </c>
      <c r="I45" s="255">
        <f>H45</f>
        <v>200</v>
      </c>
      <c r="J45" s="266"/>
      <c r="K45" s="369"/>
      <c r="L45" s="254"/>
    </row>
    <row r="46" spans="1:14" s="272" customFormat="1" ht="12.75" x14ac:dyDescent="0.25">
      <c r="A46" s="266"/>
      <c r="B46" s="245" t="s">
        <v>637</v>
      </c>
      <c r="C46" s="267"/>
      <c r="D46" s="255">
        <v>1</v>
      </c>
      <c r="E46" s="268">
        <v>7</v>
      </c>
      <c r="F46" s="268">
        <f>3+4.6</f>
        <v>7.6</v>
      </c>
      <c r="G46" s="268"/>
      <c r="H46" s="255">
        <f>PRODUCT(D46:G46)</f>
        <v>53.199999999999996</v>
      </c>
      <c r="I46" s="255">
        <f>H46</f>
        <v>53.199999999999996</v>
      </c>
      <c r="J46" s="266"/>
      <c r="K46" s="369"/>
      <c r="L46" s="254"/>
    </row>
    <row r="47" spans="1:14" s="365" customFormat="1" ht="12" x14ac:dyDescent="0.25">
      <c r="A47" s="362">
        <f>A40+1</f>
        <v>1</v>
      </c>
      <c r="B47" s="370" t="s">
        <v>567</v>
      </c>
      <c r="C47" s="362"/>
      <c r="D47" s="362"/>
      <c r="E47" s="363"/>
      <c r="F47" s="363"/>
      <c r="G47" s="363"/>
      <c r="H47" s="363"/>
      <c r="I47" s="363">
        <f>SUM(I48:I50)</f>
        <v>274.58333333333337</v>
      </c>
      <c r="J47" s="362" t="s">
        <v>483</v>
      </c>
      <c r="K47" s="364"/>
      <c r="L47" s="364"/>
    </row>
    <row r="48" spans="1:14" s="365" customFormat="1" ht="12" x14ac:dyDescent="0.25">
      <c r="A48" s="366"/>
      <c r="B48" s="367" t="s">
        <v>638</v>
      </c>
      <c r="C48" s="359"/>
      <c r="D48" s="360">
        <v>1</v>
      </c>
      <c r="E48" s="361">
        <f>E36</f>
        <v>149.16666666666671</v>
      </c>
      <c r="F48" s="361"/>
      <c r="G48" s="361"/>
      <c r="H48" s="360">
        <f>PRODUCT(D48:G48)</f>
        <v>149.16666666666671</v>
      </c>
      <c r="I48" s="360">
        <f>H48</f>
        <v>149.16666666666671</v>
      </c>
      <c r="J48" s="366"/>
      <c r="K48" s="368"/>
      <c r="L48" s="368"/>
    </row>
    <row r="49" spans="1:14" s="365" customFormat="1" ht="12" x14ac:dyDescent="0.25">
      <c r="A49" s="366"/>
      <c r="B49" s="367" t="s">
        <v>450</v>
      </c>
      <c r="C49" s="359"/>
      <c r="D49" s="360">
        <v>1</v>
      </c>
      <c r="E49" s="361">
        <f>E28</f>
        <v>68</v>
      </c>
      <c r="F49" s="361"/>
      <c r="G49" s="361"/>
      <c r="H49" s="360">
        <f>PRODUCT(D49:G49)</f>
        <v>68</v>
      </c>
      <c r="I49" s="360">
        <f>H49</f>
        <v>68</v>
      </c>
      <c r="J49" s="366"/>
      <c r="K49" s="368"/>
      <c r="L49" s="368"/>
    </row>
    <row r="50" spans="1:14" s="365" customFormat="1" ht="12" x14ac:dyDescent="0.25">
      <c r="A50" s="366"/>
      <c r="B50" s="367" t="s">
        <v>630</v>
      </c>
      <c r="C50" s="359"/>
      <c r="D50" s="360">
        <v>1</v>
      </c>
      <c r="E50" s="361">
        <f>E31+E32</f>
        <v>57.416666666666664</v>
      </c>
      <c r="F50" s="361"/>
      <c r="G50" s="361"/>
      <c r="H50" s="360">
        <f>PRODUCT(D50:G50)</f>
        <v>57.416666666666664</v>
      </c>
      <c r="I50" s="360">
        <f>H50</f>
        <v>57.416666666666664</v>
      </c>
      <c r="J50" s="366"/>
      <c r="K50" s="368"/>
      <c r="L50" s="368"/>
    </row>
    <row r="51" spans="1:14" s="365" customFormat="1" ht="12" x14ac:dyDescent="0.25">
      <c r="A51" s="366"/>
      <c r="B51" s="367"/>
      <c r="C51" s="359"/>
      <c r="D51" s="360"/>
      <c r="E51" s="361"/>
      <c r="F51" s="361"/>
      <c r="G51" s="361"/>
      <c r="H51" s="360"/>
      <c r="I51" s="360"/>
      <c r="J51" s="366"/>
      <c r="K51" s="368"/>
      <c r="L51" s="368"/>
    </row>
    <row r="52" spans="1:14" s="365" customFormat="1" ht="12.75" x14ac:dyDescent="0.25">
      <c r="A52" s="362"/>
      <c r="B52" s="280"/>
      <c r="C52" s="362"/>
      <c r="D52" s="362"/>
      <c r="E52" s="363"/>
      <c r="F52" s="363"/>
      <c r="G52" s="363"/>
      <c r="H52" s="363"/>
      <c r="I52" s="363">
        <f>SUM(I53:I58)</f>
        <v>4409.2700000000004</v>
      </c>
      <c r="J52" s="362" t="s">
        <v>141</v>
      </c>
      <c r="K52" s="364"/>
      <c r="L52" s="364"/>
    </row>
    <row r="53" spans="1:14" s="290" customFormat="1" ht="12.75" x14ac:dyDescent="0.25">
      <c r="A53" s="286"/>
      <c r="B53" s="245" t="s">
        <v>390</v>
      </c>
      <c r="C53" s="245"/>
      <c r="D53" s="275"/>
      <c r="E53" s="275"/>
      <c r="F53" s="275"/>
      <c r="G53" s="329"/>
      <c r="H53" s="275"/>
      <c r="I53" s="275">
        <f>SUM(H54:H63)</f>
        <v>4409.2700000000004</v>
      </c>
      <c r="J53" s="286" t="s">
        <v>368</v>
      </c>
      <c r="K53" s="245"/>
      <c r="L53" s="245"/>
      <c r="M53" s="288"/>
    </row>
    <row r="54" spans="1:14" s="290" customFormat="1" ht="12.75" x14ac:dyDescent="0.25">
      <c r="A54" s="286"/>
      <c r="B54" s="245"/>
      <c r="C54" s="245" t="s">
        <v>392</v>
      </c>
      <c r="D54" s="275">
        <v>1</v>
      </c>
      <c r="E54" s="275">
        <v>153.41</v>
      </c>
      <c r="F54" s="275"/>
      <c r="G54" s="329"/>
      <c r="H54" s="275">
        <f t="shared" ref="H54:H63" si="4">PRODUCT(D54:G54)</f>
        <v>153.41</v>
      </c>
      <c r="I54" s="275"/>
      <c r="J54" s="286"/>
      <c r="K54" s="245"/>
      <c r="L54" s="245"/>
      <c r="M54" s="288"/>
    </row>
    <row r="55" spans="1:14" s="290" customFormat="1" ht="12.75" x14ac:dyDescent="0.25">
      <c r="A55" s="286"/>
      <c r="B55" s="245"/>
      <c r="C55" s="245" t="s">
        <v>393</v>
      </c>
      <c r="D55" s="275">
        <v>1</v>
      </c>
      <c r="E55" s="275">
        <v>152.63</v>
      </c>
      <c r="F55" s="275"/>
      <c r="G55" s="329"/>
      <c r="H55" s="275">
        <f t="shared" si="4"/>
        <v>152.63</v>
      </c>
      <c r="I55" s="275"/>
      <c r="J55" s="286"/>
      <c r="K55" s="245"/>
      <c r="L55" s="245"/>
      <c r="M55" s="288"/>
    </row>
    <row r="56" spans="1:14" s="290" customFormat="1" ht="12.75" x14ac:dyDescent="0.25">
      <c r="A56" s="286"/>
      <c r="B56" s="245"/>
      <c r="C56" s="245" t="s">
        <v>394</v>
      </c>
      <c r="D56" s="275">
        <v>1</v>
      </c>
      <c r="E56" s="275">
        <v>36.26</v>
      </c>
      <c r="F56" s="275"/>
      <c r="G56" s="329"/>
      <c r="H56" s="275">
        <f t="shared" si="4"/>
        <v>36.26</v>
      </c>
      <c r="I56" s="275"/>
      <c r="J56" s="286"/>
      <c r="K56" s="245"/>
      <c r="L56" s="245"/>
      <c r="M56" s="288"/>
    </row>
    <row r="57" spans="1:14" s="290" customFormat="1" ht="12.75" x14ac:dyDescent="0.25">
      <c r="A57" s="286"/>
      <c r="B57" s="245"/>
      <c r="C57" s="245" t="s">
        <v>395</v>
      </c>
      <c r="D57" s="275">
        <v>1</v>
      </c>
      <c r="E57" s="275">
        <v>568.36</v>
      </c>
      <c r="F57" s="275"/>
      <c r="G57" s="329"/>
      <c r="H57" s="275">
        <f t="shared" si="4"/>
        <v>568.36</v>
      </c>
      <c r="I57" s="275"/>
      <c r="J57" s="286"/>
      <c r="K57" s="245"/>
      <c r="L57" s="245"/>
      <c r="M57" s="288"/>
    </row>
    <row r="58" spans="1:14" s="290" customFormat="1" ht="12.75" x14ac:dyDescent="0.25">
      <c r="A58" s="286"/>
      <c r="B58" s="245"/>
      <c r="C58" s="245" t="s">
        <v>400</v>
      </c>
      <c r="D58" s="275">
        <v>1</v>
      </c>
      <c r="E58" s="275">
        <v>567.26</v>
      </c>
      <c r="F58" s="275"/>
      <c r="G58" s="329"/>
      <c r="H58" s="275">
        <f t="shared" si="4"/>
        <v>567.26</v>
      </c>
      <c r="I58" s="275"/>
      <c r="J58" s="286"/>
      <c r="K58" s="245"/>
      <c r="L58" s="245"/>
      <c r="M58" s="288"/>
      <c r="N58" s="289"/>
    </row>
    <row r="59" spans="1:14" s="290" customFormat="1" ht="12.75" x14ac:dyDescent="0.25">
      <c r="A59" s="286"/>
      <c r="B59" s="245"/>
      <c r="C59" s="245" t="s">
        <v>396</v>
      </c>
      <c r="D59" s="275">
        <v>1</v>
      </c>
      <c r="E59" s="275">
        <v>105.12</v>
      </c>
      <c r="F59" s="275"/>
      <c r="G59" s="329"/>
      <c r="H59" s="275">
        <f t="shared" si="4"/>
        <v>105.12</v>
      </c>
      <c r="I59" s="275"/>
      <c r="J59" s="286"/>
      <c r="K59" s="245"/>
      <c r="L59" s="245"/>
      <c r="M59" s="288"/>
      <c r="N59" s="289"/>
    </row>
    <row r="60" spans="1:14" s="290" customFormat="1" ht="12.75" x14ac:dyDescent="0.25">
      <c r="A60" s="286"/>
      <c r="B60" s="245"/>
      <c r="C60" s="245" t="s">
        <v>397</v>
      </c>
      <c r="D60" s="275">
        <v>1</v>
      </c>
      <c r="E60" s="275">
        <v>195.71</v>
      </c>
      <c r="F60" s="275"/>
      <c r="G60" s="329"/>
      <c r="H60" s="275">
        <f t="shared" si="4"/>
        <v>195.71</v>
      </c>
      <c r="I60" s="275"/>
      <c r="J60" s="286"/>
      <c r="K60" s="245"/>
      <c r="L60" s="245"/>
      <c r="M60" s="288"/>
      <c r="N60" s="289"/>
    </row>
    <row r="61" spans="1:14" s="290" customFormat="1" ht="12.75" x14ac:dyDescent="0.25">
      <c r="A61" s="286"/>
      <c r="B61" s="245"/>
      <c r="C61" s="245" t="s">
        <v>398</v>
      </c>
      <c r="D61" s="275">
        <v>1</v>
      </c>
      <c r="E61" s="275">
        <v>10.24</v>
      </c>
      <c r="F61" s="275"/>
      <c r="G61" s="329"/>
      <c r="H61" s="275">
        <f t="shared" si="4"/>
        <v>10.24</v>
      </c>
      <c r="I61" s="275"/>
      <c r="J61" s="286"/>
      <c r="K61" s="245"/>
      <c r="L61" s="245"/>
      <c r="M61" s="288"/>
      <c r="N61" s="289"/>
    </row>
    <row r="62" spans="1:14" s="290" customFormat="1" ht="12.75" x14ac:dyDescent="0.25">
      <c r="A62" s="286"/>
      <c r="B62" s="245"/>
      <c r="C62" s="245" t="s">
        <v>399</v>
      </c>
      <c r="D62" s="275">
        <v>1</v>
      </c>
      <c r="E62" s="275">
        <v>10.75</v>
      </c>
      <c r="F62" s="275"/>
      <c r="G62" s="329"/>
      <c r="H62" s="275">
        <f t="shared" si="4"/>
        <v>10.75</v>
      </c>
      <c r="I62" s="275"/>
      <c r="J62" s="286"/>
      <c r="K62" s="245"/>
      <c r="L62" s="245"/>
      <c r="M62" s="288"/>
      <c r="N62" s="289"/>
    </row>
    <row r="63" spans="1:14" s="290" customFormat="1" ht="12.75" x14ac:dyDescent="0.25">
      <c r="A63" s="286"/>
      <c r="B63" s="245"/>
      <c r="C63" s="245" t="s">
        <v>391</v>
      </c>
      <c r="D63" s="275">
        <v>1</v>
      </c>
      <c r="E63" s="275">
        <v>2609.5300000000002</v>
      </c>
      <c r="F63" s="275"/>
      <c r="G63" s="329"/>
      <c r="H63" s="275">
        <f t="shared" si="4"/>
        <v>2609.5300000000002</v>
      </c>
      <c r="I63" s="275"/>
      <c r="J63" s="286"/>
      <c r="K63" s="245"/>
      <c r="L63" s="245"/>
      <c r="M63" s="288"/>
      <c r="N63" s="289"/>
    </row>
    <row r="64" spans="1:14" s="290" customFormat="1" ht="12.75" x14ac:dyDescent="0.25">
      <c r="A64" s="286"/>
      <c r="B64" s="245"/>
      <c r="C64" s="245"/>
      <c r="D64" s="275"/>
      <c r="E64" s="275"/>
      <c r="F64" s="275"/>
      <c r="G64" s="329"/>
      <c r="H64" s="275"/>
      <c r="I64" s="275"/>
      <c r="J64" s="286"/>
      <c r="K64" s="245"/>
      <c r="L64" s="245"/>
      <c r="M64" s="288"/>
      <c r="N64" s="289"/>
    </row>
    <row r="65" spans="1:12" s="365" customFormat="1" ht="12" x14ac:dyDescent="0.25">
      <c r="A65" s="362">
        <f>A56+1</f>
        <v>1</v>
      </c>
      <c r="B65" s="370" t="s">
        <v>508</v>
      </c>
      <c r="C65" s="362"/>
      <c r="D65" s="362"/>
      <c r="E65" s="363"/>
      <c r="F65" s="363"/>
      <c r="G65" s="363"/>
      <c r="H65" s="363"/>
      <c r="I65" s="363">
        <f>SUM(I66:I95)</f>
        <v>30.133525377229084</v>
      </c>
      <c r="J65" s="362" t="s">
        <v>323</v>
      </c>
      <c r="K65" s="364"/>
      <c r="L65" s="364"/>
    </row>
    <row r="66" spans="1:12" s="365" customFormat="1" ht="12" x14ac:dyDescent="0.25">
      <c r="A66" s="366"/>
      <c r="B66" s="358" t="s">
        <v>639</v>
      </c>
      <c r="C66" s="359"/>
      <c r="D66" s="360"/>
      <c r="E66" s="361"/>
      <c r="F66" s="361"/>
      <c r="G66" s="361"/>
      <c r="H66" s="360"/>
      <c r="I66" s="360"/>
      <c r="J66" s="366"/>
      <c r="K66" s="368"/>
      <c r="L66" s="368"/>
    </row>
    <row r="67" spans="1:12" s="365" customFormat="1" ht="12" x14ac:dyDescent="0.25">
      <c r="A67" s="366"/>
      <c r="B67" s="367" t="s">
        <v>385</v>
      </c>
      <c r="C67" s="359" t="s">
        <v>386</v>
      </c>
      <c r="D67" s="360">
        <v>1</v>
      </c>
      <c r="E67" s="361">
        <v>22</v>
      </c>
      <c r="F67" s="361">
        <f>2.5</f>
        <v>2.5</v>
      </c>
      <c r="G67" s="361">
        <f>1</f>
        <v>1</v>
      </c>
      <c r="H67" s="360">
        <f>PRODUCT(D67:G67)</f>
        <v>55</v>
      </c>
      <c r="I67" s="360">
        <f>H67/27</f>
        <v>2.0370370370370372</v>
      </c>
      <c r="J67" s="366"/>
      <c r="K67" s="368"/>
      <c r="L67" s="368"/>
    </row>
    <row r="68" spans="1:12" s="365" customFormat="1" ht="12" x14ac:dyDescent="0.25">
      <c r="A68" s="366"/>
      <c r="B68" s="367" t="s">
        <v>325</v>
      </c>
      <c r="C68" s="359" t="s">
        <v>640</v>
      </c>
      <c r="D68" s="360">
        <v>1</v>
      </c>
      <c r="E68" s="361">
        <f>E67</f>
        <v>22</v>
      </c>
      <c r="F68" s="361">
        <f>2.5</f>
        <v>2.5</v>
      </c>
      <c r="G68" s="361">
        <f>1</f>
        <v>1</v>
      </c>
      <c r="H68" s="360">
        <f>PRODUCT(D68:G68)</f>
        <v>55</v>
      </c>
      <c r="I68" s="360">
        <f>H68/27</f>
        <v>2.0370370370370372</v>
      </c>
      <c r="J68" s="366"/>
      <c r="K68" s="368"/>
      <c r="L68" s="368"/>
    </row>
    <row r="69" spans="1:12" s="365" customFormat="1" ht="12" x14ac:dyDescent="0.25">
      <c r="A69" s="366"/>
      <c r="B69" s="367" t="s">
        <v>325</v>
      </c>
      <c r="C69" s="359" t="s">
        <v>387</v>
      </c>
      <c r="D69" s="360">
        <v>2</v>
      </c>
      <c r="E69" s="361">
        <v>12</v>
      </c>
      <c r="F69" s="361">
        <f>2.5</f>
        <v>2.5</v>
      </c>
      <c r="G69" s="361">
        <f>1</f>
        <v>1</v>
      </c>
      <c r="H69" s="360">
        <f>PRODUCT(D69:G69)</f>
        <v>60</v>
      </c>
      <c r="I69" s="360">
        <f>H69/27</f>
        <v>2.2222222222222223</v>
      </c>
      <c r="J69" s="366"/>
      <c r="K69" s="368"/>
      <c r="L69" s="368"/>
    </row>
    <row r="70" spans="1:12" s="365" customFormat="1" ht="12" x14ac:dyDescent="0.25">
      <c r="A70" s="366"/>
      <c r="B70" s="358" t="s">
        <v>641</v>
      </c>
      <c r="C70" s="359"/>
      <c r="D70" s="360"/>
      <c r="E70" s="361"/>
      <c r="F70" s="361"/>
      <c r="G70" s="361"/>
      <c r="H70" s="360"/>
      <c r="I70" s="360"/>
      <c r="J70" s="366"/>
      <c r="K70" s="368"/>
      <c r="L70" s="368"/>
    </row>
    <row r="71" spans="1:12" s="365" customFormat="1" ht="12" x14ac:dyDescent="0.25">
      <c r="A71" s="366"/>
      <c r="B71" s="367" t="s">
        <v>385</v>
      </c>
      <c r="C71" s="359" t="s">
        <v>386</v>
      </c>
      <c r="D71" s="360">
        <v>1</v>
      </c>
      <c r="E71" s="361">
        <v>22</v>
      </c>
      <c r="F71" s="361">
        <f>8/12</f>
        <v>0.66666666666666663</v>
      </c>
      <c r="G71" s="361">
        <f>3+2/12</f>
        <v>3.1666666666666665</v>
      </c>
      <c r="H71" s="360">
        <f>PRODUCT(D71:G71)</f>
        <v>46.444444444444443</v>
      </c>
      <c r="I71" s="360">
        <f t="shared" ref="I71:I79" si="5">H71/27</f>
        <v>1.7201646090534979</v>
      </c>
      <c r="J71" s="366"/>
      <c r="K71" s="368"/>
      <c r="L71" s="368"/>
    </row>
    <row r="72" spans="1:12" s="365" customFormat="1" ht="12" x14ac:dyDescent="0.25">
      <c r="A72" s="366"/>
      <c r="B72" s="367" t="s">
        <v>325</v>
      </c>
      <c r="C72" s="359" t="s">
        <v>640</v>
      </c>
      <c r="D72" s="360">
        <v>1</v>
      </c>
      <c r="E72" s="361">
        <f>E71</f>
        <v>22</v>
      </c>
      <c r="F72" s="361">
        <f>8/12</f>
        <v>0.66666666666666663</v>
      </c>
      <c r="G72" s="361">
        <f>3+2/12</f>
        <v>3.1666666666666665</v>
      </c>
      <c r="H72" s="360">
        <f>PRODUCT(D72:G72)</f>
        <v>46.444444444444443</v>
      </c>
      <c r="I72" s="360">
        <f t="shared" si="5"/>
        <v>1.7201646090534979</v>
      </c>
      <c r="J72" s="366"/>
      <c r="K72" s="368"/>
      <c r="L72" s="368"/>
    </row>
    <row r="73" spans="1:12" s="365" customFormat="1" ht="12" x14ac:dyDescent="0.25">
      <c r="A73" s="366"/>
      <c r="B73" s="367" t="s">
        <v>325</v>
      </c>
      <c r="C73" s="359" t="s">
        <v>387</v>
      </c>
      <c r="D73" s="360">
        <v>2</v>
      </c>
      <c r="E73" s="361">
        <v>12</v>
      </c>
      <c r="F73" s="361">
        <f>8/12</f>
        <v>0.66666666666666663</v>
      </c>
      <c r="G73" s="361">
        <f>3+2/12</f>
        <v>3.1666666666666665</v>
      </c>
      <c r="H73" s="360">
        <f>PRODUCT(D73:G73)</f>
        <v>50.666666666666664</v>
      </c>
      <c r="I73" s="360">
        <f t="shared" si="5"/>
        <v>1.8765432098765431</v>
      </c>
      <c r="J73" s="366"/>
      <c r="K73" s="368"/>
      <c r="L73" s="368"/>
    </row>
    <row r="74" spans="1:12" s="365" customFormat="1" ht="12" x14ac:dyDescent="0.25">
      <c r="A74" s="366"/>
      <c r="B74" s="367"/>
      <c r="C74" s="359"/>
      <c r="D74" s="360"/>
      <c r="E74" s="361"/>
      <c r="F74" s="361"/>
      <c r="G74" s="361"/>
      <c r="H74" s="360"/>
      <c r="I74" s="360"/>
      <c r="J74" s="366"/>
      <c r="K74" s="368"/>
      <c r="L74" s="368"/>
    </row>
    <row r="75" spans="1:12" s="365" customFormat="1" ht="12" x14ac:dyDescent="0.25">
      <c r="A75" s="366"/>
      <c r="B75" s="367" t="s">
        <v>642</v>
      </c>
      <c r="C75" s="359"/>
      <c r="D75" s="360">
        <v>1</v>
      </c>
      <c r="E75" s="361">
        <v>19.329999999999998</v>
      </c>
      <c r="F75" s="361">
        <v>10</v>
      </c>
      <c r="G75" s="361">
        <f>4/12</f>
        <v>0.33333333333333331</v>
      </c>
      <c r="H75" s="360">
        <f>PRODUCT(D75:G75)</f>
        <v>64.433333333333323</v>
      </c>
      <c r="I75" s="360">
        <f t="shared" si="5"/>
        <v>2.3864197530864195</v>
      </c>
      <c r="J75" s="366"/>
      <c r="K75" s="368"/>
      <c r="L75" s="368"/>
    </row>
    <row r="76" spans="1:12" s="365" customFormat="1" ht="12" x14ac:dyDescent="0.25">
      <c r="A76" s="366"/>
      <c r="B76" s="367" t="s">
        <v>627</v>
      </c>
      <c r="C76" s="359"/>
      <c r="D76" s="360"/>
      <c r="E76" s="361"/>
      <c r="F76" s="361"/>
      <c r="G76" s="361"/>
      <c r="H76" s="360"/>
      <c r="I76" s="360"/>
      <c r="J76" s="366"/>
      <c r="K76" s="368"/>
      <c r="L76" s="368"/>
    </row>
    <row r="77" spans="1:12" s="365" customFormat="1" ht="12" x14ac:dyDescent="0.25">
      <c r="A77" s="366"/>
      <c r="B77" s="367" t="s">
        <v>643</v>
      </c>
      <c r="C77" s="359"/>
      <c r="D77" s="360">
        <v>1</v>
      </c>
      <c r="E77" s="361">
        <v>7</v>
      </c>
      <c r="F77" s="361">
        <v>3</v>
      </c>
      <c r="G77" s="361">
        <f>6/12</f>
        <v>0.5</v>
      </c>
      <c r="H77" s="360">
        <f>PRODUCT(D77:G77)</f>
        <v>10.5</v>
      </c>
      <c r="I77" s="360">
        <f t="shared" si="5"/>
        <v>0.3888888888888889</v>
      </c>
      <c r="J77" s="366"/>
      <c r="K77" s="368"/>
      <c r="L77" s="368"/>
    </row>
    <row r="78" spans="1:12" s="365" customFormat="1" ht="12" x14ac:dyDescent="0.25">
      <c r="A78" s="366"/>
      <c r="B78" s="367" t="s">
        <v>644</v>
      </c>
      <c r="C78" s="359"/>
      <c r="D78" s="360">
        <v>1</v>
      </c>
      <c r="E78" s="361">
        <v>7</v>
      </c>
      <c r="F78" s="361">
        <v>4.5999999999999996</v>
      </c>
      <c r="G78" s="361">
        <f>6/12</f>
        <v>0.5</v>
      </c>
      <c r="H78" s="360">
        <f>PRODUCT(D78:G78)</f>
        <v>16.099999999999998</v>
      </c>
      <c r="I78" s="360">
        <f t="shared" si="5"/>
        <v>0.59629629629629621</v>
      </c>
      <c r="J78" s="366"/>
      <c r="K78" s="368"/>
      <c r="L78" s="368"/>
    </row>
    <row r="79" spans="1:12" s="365" customFormat="1" ht="12" x14ac:dyDescent="0.25">
      <c r="A79" s="366"/>
      <c r="B79" s="367"/>
      <c r="C79" s="359"/>
      <c r="D79" s="360">
        <v>1</v>
      </c>
      <c r="E79" s="361">
        <v>7</v>
      </c>
      <c r="F79" s="371">
        <v>3.3333333333333335</v>
      </c>
      <c r="G79" s="361">
        <f>8/12</f>
        <v>0.66666666666666663</v>
      </c>
      <c r="H79" s="360">
        <f>PRODUCT(D79:G79)</f>
        <v>15.555555555555557</v>
      </c>
      <c r="I79" s="360">
        <f t="shared" si="5"/>
        <v>0.5761316872427984</v>
      </c>
      <c r="J79" s="366"/>
      <c r="K79" s="368"/>
      <c r="L79" s="368"/>
    </row>
    <row r="80" spans="1:12" s="365" customFormat="1" ht="12" x14ac:dyDescent="0.25">
      <c r="A80" s="366"/>
      <c r="B80" s="358" t="s">
        <v>450</v>
      </c>
      <c r="C80" s="359"/>
      <c r="D80" s="360"/>
      <c r="E80" s="361"/>
      <c r="F80" s="361"/>
      <c r="G80" s="361"/>
      <c r="H80" s="360"/>
      <c r="I80" s="360"/>
      <c r="J80" s="366"/>
      <c r="K80" s="368"/>
      <c r="L80" s="368"/>
    </row>
    <row r="81" spans="1:12" s="272" customFormat="1" ht="12.75" x14ac:dyDescent="0.25">
      <c r="A81" s="266"/>
      <c r="B81" s="51" t="s">
        <v>639</v>
      </c>
      <c r="C81" s="267"/>
      <c r="D81" s="255"/>
      <c r="E81" s="268"/>
      <c r="F81" s="268"/>
      <c r="G81" s="268"/>
      <c r="H81" s="255"/>
      <c r="I81" s="255"/>
      <c r="J81" s="266"/>
      <c r="K81" s="369"/>
      <c r="L81" s="254"/>
    </row>
    <row r="82" spans="1:12" s="272" customFormat="1" ht="12.75" x14ac:dyDescent="0.25">
      <c r="A82" s="266"/>
      <c r="B82" s="245" t="s">
        <v>385</v>
      </c>
      <c r="C82" s="267" t="s">
        <v>386</v>
      </c>
      <c r="D82" s="255">
        <v>1</v>
      </c>
      <c r="E82" s="268">
        <f>21+4/12</f>
        <v>21.333333333333332</v>
      </c>
      <c r="F82" s="268">
        <f>2.5</f>
        <v>2.5</v>
      </c>
      <c r="G82" s="268">
        <f>1</f>
        <v>1</v>
      </c>
      <c r="H82" s="255">
        <f>PRODUCT(D82:G82)</f>
        <v>53.333333333333329</v>
      </c>
      <c r="I82" s="255">
        <f>H82/27</f>
        <v>1.9753086419753085</v>
      </c>
      <c r="J82" s="266"/>
      <c r="K82" s="369"/>
      <c r="L82" s="254"/>
    </row>
    <row r="83" spans="1:12" s="272" customFormat="1" ht="12.75" x14ac:dyDescent="0.25">
      <c r="A83" s="266"/>
      <c r="B83" s="245" t="s">
        <v>325</v>
      </c>
      <c r="C83" s="267" t="s">
        <v>640</v>
      </c>
      <c r="D83" s="255">
        <v>1</v>
      </c>
      <c r="E83" s="268">
        <f>E82</f>
        <v>21.333333333333332</v>
      </c>
      <c r="F83" s="268">
        <f>2.5</f>
        <v>2.5</v>
      </c>
      <c r="G83" s="268">
        <f>1</f>
        <v>1</v>
      </c>
      <c r="H83" s="255">
        <f>PRODUCT(D83:G83)</f>
        <v>53.333333333333329</v>
      </c>
      <c r="I83" s="255">
        <f>H83/27</f>
        <v>1.9753086419753085</v>
      </c>
      <c r="J83" s="266"/>
      <c r="K83" s="369"/>
      <c r="L83" s="254"/>
    </row>
    <row r="84" spans="1:12" s="272" customFormat="1" ht="12.75" x14ac:dyDescent="0.25">
      <c r="A84" s="266"/>
      <c r="B84" s="245" t="s">
        <v>325</v>
      </c>
      <c r="C84" s="267" t="s">
        <v>387</v>
      </c>
      <c r="D84" s="255">
        <v>2</v>
      </c>
      <c r="E84" s="268">
        <v>10</v>
      </c>
      <c r="F84" s="268">
        <f>2.5</f>
        <v>2.5</v>
      </c>
      <c r="G84" s="268">
        <f>1</f>
        <v>1</v>
      </c>
      <c r="H84" s="255">
        <f>PRODUCT(D84:G84)</f>
        <v>50</v>
      </c>
      <c r="I84" s="255">
        <f>H84/27</f>
        <v>1.8518518518518519</v>
      </c>
      <c r="J84" s="266"/>
      <c r="K84" s="369"/>
      <c r="L84" s="254"/>
    </row>
    <row r="85" spans="1:12" s="272" customFormat="1" ht="12.75" x14ac:dyDescent="0.25">
      <c r="A85" s="266"/>
      <c r="B85" s="51" t="s">
        <v>641</v>
      </c>
      <c r="C85" s="267"/>
      <c r="D85" s="255"/>
      <c r="E85" s="268"/>
      <c r="F85" s="268"/>
      <c r="G85" s="268"/>
      <c r="H85" s="255"/>
      <c r="I85" s="255"/>
      <c r="J85" s="266"/>
      <c r="K85" s="369"/>
      <c r="L85" s="254"/>
    </row>
    <row r="86" spans="1:12" s="272" customFormat="1" ht="12.75" x14ac:dyDescent="0.25">
      <c r="A86" s="266"/>
      <c r="B86" s="245" t="s">
        <v>385</v>
      </c>
      <c r="C86" s="267" t="s">
        <v>386</v>
      </c>
      <c r="D86" s="255">
        <v>1</v>
      </c>
      <c r="E86" s="268">
        <f>21+4/12</f>
        <v>21.333333333333332</v>
      </c>
      <c r="F86" s="268">
        <f>8/12</f>
        <v>0.66666666666666663</v>
      </c>
      <c r="G86" s="268">
        <f>3+2/12</f>
        <v>3.1666666666666665</v>
      </c>
      <c r="H86" s="255">
        <f>PRODUCT(D86:G86)</f>
        <v>45.037037037037031</v>
      </c>
      <c r="I86" s="255">
        <f>H86/27</f>
        <v>1.6680384087791493</v>
      </c>
      <c r="J86" s="266"/>
      <c r="K86" s="369"/>
      <c r="L86" s="254"/>
    </row>
    <row r="87" spans="1:12" s="272" customFormat="1" ht="12.75" x14ac:dyDescent="0.25">
      <c r="A87" s="266"/>
      <c r="B87" s="245" t="s">
        <v>325</v>
      </c>
      <c r="C87" s="267" t="s">
        <v>640</v>
      </c>
      <c r="D87" s="255">
        <v>1</v>
      </c>
      <c r="E87" s="268">
        <f>E86</f>
        <v>21.333333333333332</v>
      </c>
      <c r="F87" s="268">
        <f>8/12</f>
        <v>0.66666666666666663</v>
      </c>
      <c r="G87" s="268">
        <f>3+2/12</f>
        <v>3.1666666666666665</v>
      </c>
      <c r="H87" s="255">
        <f>PRODUCT(D87:G87)</f>
        <v>45.037037037037031</v>
      </c>
      <c r="I87" s="255">
        <f>H87/27</f>
        <v>1.6680384087791493</v>
      </c>
      <c r="J87" s="266"/>
      <c r="K87" s="369"/>
      <c r="L87" s="254"/>
    </row>
    <row r="88" spans="1:12" s="272" customFormat="1" ht="12.75" x14ac:dyDescent="0.25">
      <c r="A88" s="266"/>
      <c r="B88" s="245" t="s">
        <v>325</v>
      </c>
      <c r="C88" s="267" t="s">
        <v>387</v>
      </c>
      <c r="D88" s="255">
        <v>2</v>
      </c>
      <c r="E88" s="268">
        <v>10</v>
      </c>
      <c r="F88" s="268">
        <f>8/12</f>
        <v>0.66666666666666663</v>
      </c>
      <c r="G88" s="268">
        <f>3+2/12</f>
        <v>3.1666666666666665</v>
      </c>
      <c r="H88" s="255">
        <f>PRODUCT(D88:G88)</f>
        <v>42.222222222222214</v>
      </c>
      <c r="I88" s="255">
        <f>H88/27</f>
        <v>1.5637860082304524</v>
      </c>
      <c r="J88" s="266"/>
      <c r="K88" s="369"/>
      <c r="L88" s="254"/>
    </row>
    <row r="89" spans="1:12" s="272" customFormat="1" ht="12.75" x14ac:dyDescent="0.25">
      <c r="A89" s="266"/>
      <c r="B89" s="245"/>
      <c r="C89" s="267"/>
      <c r="D89" s="255"/>
      <c r="E89" s="268"/>
      <c r="F89" s="268"/>
      <c r="G89" s="268"/>
      <c r="H89" s="255"/>
      <c r="I89" s="255"/>
      <c r="J89" s="266"/>
      <c r="K89" s="369"/>
      <c r="L89" s="254"/>
    </row>
    <row r="90" spans="1:12" s="272" customFormat="1" ht="12.75" x14ac:dyDescent="0.25">
      <c r="A90" s="266"/>
      <c r="B90" s="245" t="s">
        <v>642</v>
      </c>
      <c r="C90" s="267"/>
      <c r="D90" s="255">
        <v>1</v>
      </c>
      <c r="E90" s="268">
        <v>20</v>
      </c>
      <c r="F90" s="268">
        <v>10</v>
      </c>
      <c r="G90" s="268">
        <f>4/12</f>
        <v>0.33333333333333331</v>
      </c>
      <c r="H90" s="255">
        <f>PRODUCT(D90:G90)</f>
        <v>66.666666666666657</v>
      </c>
      <c r="I90" s="255">
        <f>H90/27</f>
        <v>2.4691358024691357</v>
      </c>
      <c r="J90" s="266"/>
      <c r="K90" s="369"/>
      <c r="L90" s="254"/>
    </row>
    <row r="91" spans="1:12" s="272" customFormat="1" ht="12.75" x14ac:dyDescent="0.25">
      <c r="A91" s="266"/>
      <c r="B91" s="245" t="s">
        <v>627</v>
      </c>
      <c r="C91" s="267"/>
      <c r="D91" s="255"/>
      <c r="E91" s="268"/>
      <c r="F91" s="268"/>
      <c r="G91" s="268"/>
      <c r="H91" s="255"/>
      <c r="I91" s="255"/>
      <c r="J91" s="266"/>
      <c r="K91" s="369"/>
      <c r="L91" s="254"/>
    </row>
    <row r="92" spans="1:12" s="272" customFormat="1" ht="12.75" x14ac:dyDescent="0.25">
      <c r="A92" s="266"/>
      <c r="B92" s="245" t="s">
        <v>643</v>
      </c>
      <c r="C92" s="267"/>
      <c r="D92" s="255">
        <v>1</v>
      </c>
      <c r="E92" s="268">
        <v>7</v>
      </c>
      <c r="F92" s="268">
        <v>3</v>
      </c>
      <c r="G92" s="268">
        <f>6/12</f>
        <v>0.5</v>
      </c>
      <c r="H92" s="255">
        <f>PRODUCT(D92:G92)</f>
        <v>10.5</v>
      </c>
      <c r="I92" s="255">
        <f>H92/27</f>
        <v>0.3888888888888889</v>
      </c>
      <c r="J92" s="266"/>
      <c r="K92" s="369"/>
      <c r="L92" s="254"/>
    </row>
    <row r="93" spans="1:12" s="272" customFormat="1" ht="12.75" x14ac:dyDescent="0.25">
      <c r="A93" s="266"/>
      <c r="B93" s="245" t="s">
        <v>644</v>
      </c>
      <c r="C93" s="267"/>
      <c r="D93" s="255">
        <v>1</v>
      </c>
      <c r="E93" s="268">
        <v>7</v>
      </c>
      <c r="F93" s="268">
        <v>4.5999999999999996</v>
      </c>
      <c r="G93" s="268">
        <f>6/12</f>
        <v>0.5</v>
      </c>
      <c r="H93" s="255">
        <f>PRODUCT(D93:G93)</f>
        <v>16.099999999999998</v>
      </c>
      <c r="I93" s="255">
        <f>H93/27</f>
        <v>0.59629629629629621</v>
      </c>
      <c r="J93" s="266"/>
      <c r="K93" s="369"/>
      <c r="L93" s="254"/>
    </row>
    <row r="94" spans="1:12" s="272" customFormat="1" ht="15" customHeight="1" x14ac:dyDescent="0.25">
      <c r="A94" s="266"/>
      <c r="B94" s="245"/>
      <c r="C94" s="267"/>
      <c r="D94" s="255">
        <v>4</v>
      </c>
      <c r="E94" s="268">
        <v>7</v>
      </c>
      <c r="F94" s="547">
        <v>0.28999999999999998</v>
      </c>
      <c r="G94" s="548"/>
      <c r="H94" s="255">
        <f>PRODUCT(D94:G94)</f>
        <v>8.1199999999999992</v>
      </c>
      <c r="I94" s="255">
        <f>H94/27</f>
        <v>0.3007407407407407</v>
      </c>
      <c r="J94" s="266"/>
      <c r="K94" s="369"/>
      <c r="L94" s="254"/>
    </row>
    <row r="95" spans="1:12" s="272" customFormat="1" ht="12.75" x14ac:dyDescent="0.25">
      <c r="A95" s="266"/>
      <c r="B95" s="245"/>
      <c r="C95" s="267"/>
      <c r="D95" s="255">
        <v>1</v>
      </c>
      <c r="E95" s="268">
        <v>7</v>
      </c>
      <c r="F95" s="268">
        <f>8/12</f>
        <v>0.66666666666666663</v>
      </c>
      <c r="G95" s="268">
        <f>8/12</f>
        <v>0.66666666666666663</v>
      </c>
      <c r="H95" s="255">
        <f>PRODUCT(D95:G95)</f>
        <v>3.1111111111111107</v>
      </c>
      <c r="I95" s="255">
        <f>H95/27</f>
        <v>0.11522633744855966</v>
      </c>
      <c r="J95" s="266"/>
      <c r="K95" s="369"/>
      <c r="L95" s="254"/>
    </row>
    <row r="96" spans="1:12" s="365" customFormat="1" ht="12" x14ac:dyDescent="0.25">
      <c r="A96" s="362">
        <f>A63+1</f>
        <v>1</v>
      </c>
      <c r="B96" s="370" t="s">
        <v>645</v>
      </c>
      <c r="C96" s="362"/>
      <c r="D96" s="362"/>
      <c r="E96" s="363"/>
      <c r="F96" s="363"/>
      <c r="G96" s="363"/>
      <c r="H96" s="363"/>
      <c r="I96" s="363">
        <f>SUM(I97:I240)</f>
        <v>11979.49421687243</v>
      </c>
      <c r="J96" s="362" t="s">
        <v>141</v>
      </c>
      <c r="K96" s="364"/>
      <c r="L96" s="364"/>
    </row>
    <row r="97" spans="1:12" s="365" customFormat="1" ht="12" x14ac:dyDescent="0.25">
      <c r="A97" s="366"/>
      <c r="B97" s="358" t="s">
        <v>639</v>
      </c>
      <c r="C97" s="359"/>
      <c r="D97" s="360"/>
      <c r="E97" s="361"/>
      <c r="F97" s="361"/>
      <c r="G97" s="361"/>
      <c r="H97" s="360"/>
      <c r="I97" s="360"/>
      <c r="J97" s="366"/>
      <c r="K97" s="368"/>
      <c r="L97" s="368"/>
    </row>
    <row r="98" spans="1:12" s="365" customFormat="1" ht="12" x14ac:dyDescent="0.25">
      <c r="A98" s="366"/>
      <c r="B98" s="367" t="s">
        <v>385</v>
      </c>
      <c r="C98" s="359"/>
      <c r="D98" s="360">
        <v>2</v>
      </c>
      <c r="E98" s="361">
        <f>21.3333333333333+1.5+1.5</f>
        <v>24.333333333333332</v>
      </c>
      <c r="F98" s="361"/>
      <c r="G98" s="361">
        <v>1</v>
      </c>
      <c r="H98" s="360">
        <f>PRODUCT(D98:G98)</f>
        <v>48.666666666666664</v>
      </c>
      <c r="I98" s="360">
        <f>H98</f>
        <v>48.666666666666664</v>
      </c>
      <c r="J98" s="366"/>
      <c r="K98" s="372"/>
      <c r="L98" s="368"/>
    </row>
    <row r="99" spans="1:12" s="365" customFormat="1" ht="12" x14ac:dyDescent="0.25">
      <c r="A99" s="366"/>
      <c r="B99" s="367" t="s">
        <v>325</v>
      </c>
      <c r="C99" s="359"/>
      <c r="D99" s="360">
        <v>2</v>
      </c>
      <c r="E99" s="361">
        <f>E98</f>
        <v>24.333333333333332</v>
      </c>
      <c r="F99" s="361"/>
      <c r="G99" s="361">
        <v>1</v>
      </c>
      <c r="H99" s="360">
        <f>PRODUCT(D99:G99)</f>
        <v>48.666666666666664</v>
      </c>
      <c r="I99" s="360">
        <f t="shared" ref="I99:I106" si="6">H99</f>
        <v>48.666666666666664</v>
      </c>
      <c r="J99" s="366"/>
      <c r="K99" s="372"/>
      <c r="L99" s="368"/>
    </row>
    <row r="100" spans="1:12" s="365" customFormat="1" ht="12" x14ac:dyDescent="0.25">
      <c r="A100" s="366"/>
      <c r="B100" s="367" t="s">
        <v>325</v>
      </c>
      <c r="C100" s="359"/>
      <c r="D100" s="360">
        <v>4</v>
      </c>
      <c r="E100" s="361">
        <f>10+2.5</f>
        <v>12.5</v>
      </c>
      <c r="F100" s="361"/>
      <c r="G100" s="361">
        <v>1</v>
      </c>
      <c r="H100" s="360">
        <f>PRODUCT(D100:G100)</f>
        <v>50</v>
      </c>
      <c r="I100" s="360">
        <f t="shared" si="6"/>
        <v>50</v>
      </c>
      <c r="J100" s="366"/>
      <c r="K100" s="372"/>
      <c r="L100" s="368"/>
    </row>
    <row r="101" spans="1:12" s="365" customFormat="1" ht="12" x14ac:dyDescent="0.25">
      <c r="A101" s="366"/>
      <c r="B101" s="358" t="s">
        <v>641</v>
      </c>
      <c r="C101" s="359"/>
      <c r="D101" s="360"/>
      <c r="E101" s="361"/>
      <c r="F101" s="361"/>
      <c r="G101" s="361"/>
      <c r="H101" s="360"/>
      <c r="I101" s="360"/>
      <c r="J101" s="366"/>
      <c r="K101" s="372"/>
      <c r="L101" s="368"/>
    </row>
    <row r="102" spans="1:12" s="365" customFormat="1" ht="12" x14ac:dyDescent="0.25">
      <c r="A102" s="366"/>
      <c r="B102" s="367" t="s">
        <v>385</v>
      </c>
      <c r="C102" s="359"/>
      <c r="D102" s="360">
        <v>2</v>
      </c>
      <c r="E102" s="361">
        <f>(21+4/12)+8/12</f>
        <v>22</v>
      </c>
      <c r="F102" s="361"/>
      <c r="G102" s="361">
        <f>3+2/12</f>
        <v>3.1666666666666665</v>
      </c>
      <c r="H102" s="360">
        <f t="shared" ref="H102:H106" si="7">PRODUCT(D102:G102)</f>
        <v>139.33333333333331</v>
      </c>
      <c r="I102" s="360">
        <f t="shared" si="6"/>
        <v>139.33333333333331</v>
      </c>
      <c r="J102" s="366"/>
      <c r="K102" s="372"/>
      <c r="L102" s="368"/>
    </row>
    <row r="103" spans="1:12" s="365" customFormat="1" ht="12" x14ac:dyDescent="0.25">
      <c r="A103" s="366"/>
      <c r="B103" s="367" t="s">
        <v>325</v>
      </c>
      <c r="C103" s="359"/>
      <c r="D103" s="360">
        <v>2</v>
      </c>
      <c r="E103" s="361">
        <f>E102</f>
        <v>22</v>
      </c>
      <c r="F103" s="361"/>
      <c r="G103" s="361">
        <f>3+2/12</f>
        <v>3.1666666666666665</v>
      </c>
      <c r="H103" s="360">
        <f t="shared" si="7"/>
        <v>139.33333333333331</v>
      </c>
      <c r="I103" s="360">
        <f t="shared" si="6"/>
        <v>139.33333333333331</v>
      </c>
      <c r="J103" s="366"/>
      <c r="K103" s="372"/>
      <c r="L103" s="368"/>
    </row>
    <row r="104" spans="1:12" s="365" customFormat="1" ht="12" x14ac:dyDescent="0.25">
      <c r="A104" s="366"/>
      <c r="B104" s="367" t="s">
        <v>325</v>
      </c>
      <c r="C104" s="359"/>
      <c r="D104" s="360">
        <v>4</v>
      </c>
      <c r="E104" s="361">
        <f>10+8/12</f>
        <v>10.666666666666666</v>
      </c>
      <c r="F104" s="361"/>
      <c r="G104" s="361">
        <f>3+2/12</f>
        <v>3.1666666666666665</v>
      </c>
      <c r="H104" s="360">
        <f t="shared" si="7"/>
        <v>135.11111111111109</v>
      </c>
      <c r="I104" s="360">
        <f t="shared" si="6"/>
        <v>135.11111111111109</v>
      </c>
      <c r="J104" s="366"/>
      <c r="K104" s="372"/>
      <c r="L104" s="368"/>
    </row>
    <row r="105" spans="1:12" s="365" customFormat="1" ht="12" x14ac:dyDescent="0.25">
      <c r="A105" s="366"/>
      <c r="B105" s="367"/>
      <c r="C105" s="359"/>
      <c r="D105" s="360"/>
      <c r="E105" s="361"/>
      <c r="F105" s="361"/>
      <c r="G105" s="361"/>
      <c r="H105" s="360"/>
      <c r="I105" s="360"/>
      <c r="J105" s="366"/>
      <c r="K105" s="372"/>
      <c r="L105" s="368"/>
    </row>
    <row r="106" spans="1:12" s="365" customFormat="1" ht="12" x14ac:dyDescent="0.25">
      <c r="A106" s="366"/>
      <c r="B106" s="367" t="s">
        <v>642</v>
      </c>
      <c r="C106" s="359"/>
      <c r="D106" s="360">
        <v>1</v>
      </c>
      <c r="E106" s="361">
        <f>20+20+10+10</f>
        <v>60</v>
      </c>
      <c r="F106" s="361"/>
      <c r="G106" s="361">
        <f>4/12</f>
        <v>0.33333333333333331</v>
      </c>
      <c r="H106" s="360">
        <f t="shared" si="7"/>
        <v>20</v>
      </c>
      <c r="I106" s="360">
        <f t="shared" si="6"/>
        <v>20</v>
      </c>
      <c r="J106" s="366"/>
      <c r="K106" s="372"/>
      <c r="L106" s="368"/>
    </row>
    <row r="107" spans="1:12" s="365" customFormat="1" ht="12.75" x14ac:dyDescent="0.25">
      <c r="A107" s="366"/>
      <c r="B107" s="245" t="s">
        <v>643</v>
      </c>
      <c r="C107" s="267"/>
      <c r="D107" s="255">
        <v>1</v>
      </c>
      <c r="E107" s="268">
        <v>7</v>
      </c>
      <c r="F107" s="268">
        <v>3</v>
      </c>
      <c r="G107" s="268"/>
      <c r="H107" s="255">
        <f>PRODUCT(D107:G107)</f>
        <v>21</v>
      </c>
      <c r="I107" s="255">
        <f>H107/27</f>
        <v>0.77777777777777779</v>
      </c>
      <c r="J107" s="366"/>
      <c r="K107" s="372"/>
      <c r="L107" s="368"/>
    </row>
    <row r="108" spans="1:12" s="365" customFormat="1" ht="12.75" x14ac:dyDescent="0.25">
      <c r="A108" s="366"/>
      <c r="B108" s="245" t="s">
        <v>644</v>
      </c>
      <c r="C108" s="267"/>
      <c r="D108" s="255">
        <v>1</v>
      </c>
      <c r="E108" s="268">
        <v>7</v>
      </c>
      <c r="F108" s="268">
        <v>4.5999999999999996</v>
      </c>
      <c r="G108" s="268"/>
      <c r="H108" s="255">
        <f>PRODUCT(D108:G108)</f>
        <v>32.199999999999996</v>
      </c>
      <c r="I108" s="255">
        <f>H108/27</f>
        <v>1.1925925925925924</v>
      </c>
      <c r="J108" s="366"/>
      <c r="K108" s="372"/>
      <c r="L108" s="368"/>
    </row>
    <row r="109" spans="1:12" s="365" customFormat="1" ht="12.75" x14ac:dyDescent="0.25">
      <c r="A109" s="366"/>
      <c r="B109" s="245"/>
      <c r="C109" s="267"/>
      <c r="D109" s="255">
        <v>4</v>
      </c>
      <c r="E109" s="268">
        <v>7</v>
      </c>
      <c r="F109" s="268"/>
      <c r="G109" s="268"/>
      <c r="H109" s="255">
        <f>PRODUCT(D109:G109)</f>
        <v>28</v>
      </c>
      <c r="I109" s="255">
        <f>H109/27</f>
        <v>1.037037037037037</v>
      </c>
      <c r="J109" s="366"/>
      <c r="K109" s="372"/>
      <c r="L109" s="368"/>
    </row>
    <row r="110" spans="1:12" s="365" customFormat="1" ht="12.75" x14ac:dyDescent="0.25">
      <c r="A110" s="366"/>
      <c r="B110" s="245"/>
      <c r="C110" s="267"/>
      <c r="D110" s="255">
        <v>1</v>
      </c>
      <c r="E110" s="268">
        <v>7</v>
      </c>
      <c r="F110" s="268">
        <f>8/12</f>
        <v>0.66666666666666663</v>
      </c>
      <c r="G110" s="268"/>
      <c r="H110" s="255">
        <f>PRODUCT(D110:G110)</f>
        <v>4.6666666666666661</v>
      </c>
      <c r="I110" s="255">
        <f>H110/27</f>
        <v>0.1728395061728395</v>
      </c>
      <c r="J110" s="366"/>
      <c r="K110" s="368"/>
      <c r="L110" s="368"/>
    </row>
    <row r="111" spans="1:12" s="365" customFormat="1" ht="12" x14ac:dyDescent="0.25">
      <c r="A111" s="362">
        <f>A78+1</f>
        <v>1</v>
      </c>
      <c r="B111" s="370" t="s">
        <v>646</v>
      </c>
      <c r="C111" s="362"/>
      <c r="D111" s="362"/>
      <c r="E111" s="363"/>
      <c r="F111" s="363"/>
      <c r="G111" s="363"/>
      <c r="H111" s="363"/>
      <c r="I111" s="363">
        <f>'Steel Take off Restroom Elec ro'!AG88</f>
        <v>2342.8095666666668</v>
      </c>
      <c r="J111" s="362" t="s">
        <v>647</v>
      </c>
      <c r="K111" s="364"/>
      <c r="L111" s="364"/>
    </row>
    <row r="112" spans="1:12" s="365" customFormat="1" ht="12.75" x14ac:dyDescent="0.25">
      <c r="A112" s="366"/>
      <c r="B112" s="367"/>
      <c r="C112" s="359"/>
      <c r="D112" s="360"/>
      <c r="E112" s="361"/>
      <c r="F112" s="361"/>
      <c r="G112" s="361"/>
      <c r="H112" s="360"/>
      <c r="I112" s="360"/>
      <c r="J112" s="366"/>
      <c r="K112" s="272"/>
      <c r="L112" s="368"/>
    </row>
    <row r="113" spans="1:12" s="365" customFormat="1" ht="12" x14ac:dyDescent="0.25">
      <c r="A113" s="362">
        <v>9</v>
      </c>
      <c r="B113" s="370" t="s">
        <v>656</v>
      </c>
      <c r="C113" s="362"/>
      <c r="D113" s="362"/>
      <c r="E113" s="363"/>
      <c r="F113" s="363"/>
      <c r="G113" s="363"/>
      <c r="H113" s="363"/>
      <c r="I113" s="363">
        <f>+SUM(I114:I127)</f>
        <v>29.872849794238682</v>
      </c>
      <c r="J113" s="362" t="s">
        <v>323</v>
      </c>
      <c r="K113" s="364"/>
      <c r="L113" s="364"/>
    </row>
    <row r="114" spans="1:12" s="365" customFormat="1" ht="12" x14ac:dyDescent="0.25">
      <c r="A114" s="366"/>
      <c r="B114" s="367" t="s">
        <v>385</v>
      </c>
      <c r="C114" s="359"/>
      <c r="D114" s="360">
        <v>1</v>
      </c>
      <c r="E114" s="371">
        <v>21.333333333333332</v>
      </c>
      <c r="F114" s="361">
        <v>0.67</v>
      </c>
      <c r="G114" s="361">
        <v>10</v>
      </c>
      <c r="H114" s="360">
        <f>PRODUCT(D114:G114)</f>
        <v>142.93333333333334</v>
      </c>
      <c r="I114" s="360">
        <f>H114/27</f>
        <v>5.2938271604938274</v>
      </c>
      <c r="J114" s="366"/>
      <c r="K114" s="372"/>
      <c r="L114" s="368"/>
    </row>
    <row r="115" spans="1:12" s="365" customFormat="1" ht="12" x14ac:dyDescent="0.25">
      <c r="A115" s="366"/>
      <c r="B115" s="367" t="s">
        <v>325</v>
      </c>
      <c r="C115" s="359"/>
      <c r="D115" s="360">
        <v>1</v>
      </c>
      <c r="E115" s="371">
        <v>21.333333333333332</v>
      </c>
      <c r="F115" s="361">
        <v>0.67</v>
      </c>
      <c r="G115" s="361">
        <v>10</v>
      </c>
      <c r="H115" s="360">
        <f>PRODUCT(D115:G115)</f>
        <v>142.93333333333334</v>
      </c>
      <c r="I115" s="360">
        <f>H115/27</f>
        <v>5.2938271604938274</v>
      </c>
      <c r="J115" s="366"/>
      <c r="K115" s="372"/>
      <c r="L115" s="368"/>
    </row>
    <row r="116" spans="1:12" s="365" customFormat="1" ht="12" x14ac:dyDescent="0.25">
      <c r="A116" s="366"/>
      <c r="B116" s="367" t="s">
        <v>325</v>
      </c>
      <c r="C116" s="359"/>
      <c r="D116" s="360">
        <v>2</v>
      </c>
      <c r="E116" s="361">
        <v>10</v>
      </c>
      <c r="F116" s="361">
        <v>0.67</v>
      </c>
      <c r="G116" s="361">
        <v>10</v>
      </c>
      <c r="H116" s="360">
        <f>PRODUCT(D116:G116)</f>
        <v>134</v>
      </c>
      <c r="I116" s="360">
        <f>H116/27</f>
        <v>4.9629629629629628</v>
      </c>
      <c r="J116" s="366"/>
      <c r="K116" s="372"/>
      <c r="L116" s="368"/>
    </row>
    <row r="117" spans="1:12" s="365" customFormat="1" ht="12" x14ac:dyDescent="0.25">
      <c r="A117" s="366"/>
      <c r="B117" s="358" t="s">
        <v>657</v>
      </c>
      <c r="C117" s="359"/>
      <c r="D117" s="360"/>
      <c r="E117" s="361"/>
      <c r="F117" s="361"/>
      <c r="G117" s="361"/>
      <c r="H117" s="360"/>
      <c r="I117" s="360"/>
      <c r="J117" s="366"/>
      <c r="K117" s="372"/>
      <c r="L117" s="368"/>
    </row>
    <row r="118" spans="1:12" s="365" customFormat="1" ht="12" x14ac:dyDescent="0.25">
      <c r="A118" s="366"/>
      <c r="B118" s="367" t="s">
        <v>658</v>
      </c>
      <c r="C118" s="359"/>
      <c r="D118" s="360">
        <v>-1</v>
      </c>
      <c r="E118" s="361">
        <v>7</v>
      </c>
      <c r="F118" s="361">
        <f>F116</f>
        <v>0.67</v>
      </c>
      <c r="G118" s="361">
        <v>3</v>
      </c>
      <c r="H118" s="360">
        <f>PRODUCT(D118:G118)</f>
        <v>-14.07</v>
      </c>
      <c r="I118" s="360">
        <f>H118/27</f>
        <v>-0.52111111111111108</v>
      </c>
      <c r="J118" s="366"/>
      <c r="K118" s="372"/>
      <c r="L118" s="368"/>
    </row>
    <row r="119" spans="1:12" s="365" customFormat="1" ht="12" x14ac:dyDescent="0.25">
      <c r="A119" s="366"/>
      <c r="B119" s="367" t="s">
        <v>659</v>
      </c>
      <c r="C119" s="359"/>
      <c r="D119" s="360">
        <v>-1</v>
      </c>
      <c r="E119" s="361">
        <f>1+6/12</f>
        <v>1.5</v>
      </c>
      <c r="F119" s="361">
        <f>F118</f>
        <v>0.67</v>
      </c>
      <c r="G119" s="361">
        <f>1+6/12</f>
        <v>1.5</v>
      </c>
      <c r="H119" s="360">
        <f>PRODUCT(D119:G119)</f>
        <v>-1.5075000000000003</v>
      </c>
      <c r="I119" s="360">
        <f>H119/27</f>
        <v>-5.5833333333333346E-2</v>
      </c>
      <c r="J119" s="366"/>
      <c r="K119" s="372"/>
      <c r="L119" s="368"/>
    </row>
    <row r="120" spans="1:12" s="365" customFormat="1" ht="12" x14ac:dyDescent="0.25">
      <c r="A120" s="366"/>
      <c r="B120" s="358" t="s">
        <v>450</v>
      </c>
      <c r="C120" s="359"/>
      <c r="D120" s="360"/>
      <c r="E120" s="361"/>
      <c r="F120" s="361"/>
      <c r="G120" s="361"/>
      <c r="H120" s="360"/>
      <c r="I120" s="360"/>
      <c r="J120" s="366"/>
      <c r="K120" s="372"/>
      <c r="L120" s="368"/>
    </row>
    <row r="121" spans="1:12" s="272" customFormat="1" ht="12.75" x14ac:dyDescent="0.25">
      <c r="A121" s="266"/>
      <c r="B121" s="245" t="s">
        <v>385</v>
      </c>
      <c r="C121" s="267"/>
      <c r="D121" s="255">
        <v>1</v>
      </c>
      <c r="E121" s="268">
        <f>21+4/12</f>
        <v>21.333333333333332</v>
      </c>
      <c r="F121" s="268">
        <f>8/12</f>
        <v>0.66666666666666663</v>
      </c>
      <c r="G121" s="268">
        <v>10</v>
      </c>
      <c r="H121" s="255">
        <f>PRODUCT(D121:G121)</f>
        <v>142.22222222222223</v>
      </c>
      <c r="I121" s="255">
        <f>H121/27</f>
        <v>5.2674897119341564</v>
      </c>
      <c r="J121" s="266"/>
      <c r="K121" s="373"/>
      <c r="L121" s="254"/>
    </row>
    <row r="122" spans="1:12" s="272" customFormat="1" ht="12.75" x14ac:dyDescent="0.25">
      <c r="A122" s="266"/>
      <c r="B122" s="245" t="s">
        <v>325</v>
      </c>
      <c r="C122" s="267"/>
      <c r="D122" s="255">
        <v>1</v>
      </c>
      <c r="E122" s="268">
        <f>E121</f>
        <v>21.333333333333332</v>
      </c>
      <c r="F122" s="268">
        <f>8/12</f>
        <v>0.66666666666666663</v>
      </c>
      <c r="G122" s="268">
        <v>10</v>
      </c>
      <c r="H122" s="255">
        <f>PRODUCT(D122:G122)</f>
        <v>142.22222222222223</v>
      </c>
      <c r="I122" s="255">
        <f>H122/27</f>
        <v>5.2674897119341564</v>
      </c>
      <c r="J122" s="266"/>
      <c r="K122" s="373"/>
      <c r="L122" s="254"/>
    </row>
    <row r="123" spans="1:12" s="272" customFormat="1" ht="12.75" x14ac:dyDescent="0.25">
      <c r="A123" s="266"/>
      <c r="B123" s="245" t="s">
        <v>325</v>
      </c>
      <c r="C123" s="267"/>
      <c r="D123" s="255">
        <v>2</v>
      </c>
      <c r="E123" s="268">
        <v>10</v>
      </c>
      <c r="F123" s="268">
        <f>8/12</f>
        <v>0.66666666666666663</v>
      </c>
      <c r="G123" s="268">
        <v>10</v>
      </c>
      <c r="H123" s="255">
        <f>PRODUCT(D123:G123)</f>
        <v>133.33333333333331</v>
      </c>
      <c r="I123" s="255">
        <f>H123/27</f>
        <v>4.9382716049382713</v>
      </c>
      <c r="J123" s="266"/>
      <c r="K123" s="373"/>
      <c r="L123" s="254"/>
    </row>
    <row r="124" spans="1:12" s="272" customFormat="1" ht="12.75" x14ac:dyDescent="0.25">
      <c r="A124" s="266"/>
      <c r="B124" s="51" t="s">
        <v>657</v>
      </c>
      <c r="C124" s="267"/>
      <c r="D124" s="255"/>
      <c r="E124" s="268"/>
      <c r="F124" s="268"/>
      <c r="G124" s="268"/>
      <c r="H124" s="255"/>
      <c r="I124" s="255"/>
      <c r="J124" s="266"/>
      <c r="K124" s="373"/>
      <c r="L124" s="254"/>
    </row>
    <row r="125" spans="1:12" s="272" customFormat="1" ht="12.75" x14ac:dyDescent="0.25">
      <c r="A125" s="266"/>
      <c r="B125" s="245" t="s">
        <v>658</v>
      </c>
      <c r="C125" s="267"/>
      <c r="D125" s="255">
        <v>-1</v>
      </c>
      <c r="E125" s="268">
        <v>7</v>
      </c>
      <c r="F125" s="268">
        <f>F123</f>
        <v>0.66666666666666663</v>
      </c>
      <c r="G125" s="268">
        <v>3</v>
      </c>
      <c r="H125" s="255">
        <f>PRODUCT(D125:G125)</f>
        <v>-13.999999999999998</v>
      </c>
      <c r="I125" s="255">
        <f>H125/27</f>
        <v>-0.51851851851851849</v>
      </c>
      <c r="J125" s="266"/>
      <c r="K125" s="373"/>
      <c r="L125" s="254"/>
    </row>
    <row r="126" spans="1:12" s="272" customFormat="1" ht="12.75" x14ac:dyDescent="0.25">
      <c r="A126" s="266"/>
      <c r="B126" s="245" t="s">
        <v>659</v>
      </c>
      <c r="C126" s="267"/>
      <c r="D126" s="255">
        <v>-1</v>
      </c>
      <c r="E126" s="268">
        <f>1+6/12</f>
        <v>1.5</v>
      </c>
      <c r="F126" s="268">
        <f>F125</f>
        <v>0.66666666666666663</v>
      </c>
      <c r="G126" s="268">
        <f>1+6/12</f>
        <v>1.5</v>
      </c>
      <c r="H126" s="255">
        <f>PRODUCT(D126:G126)</f>
        <v>-1.5</v>
      </c>
      <c r="I126" s="255">
        <f>H126/27</f>
        <v>-5.5555555555555552E-2</v>
      </c>
      <c r="J126" s="266"/>
      <c r="K126" s="373"/>
      <c r="L126" s="254"/>
    </row>
    <row r="127" spans="1:12" s="272" customFormat="1" ht="12.75" x14ac:dyDescent="0.25">
      <c r="A127" s="266"/>
      <c r="B127" s="245"/>
      <c r="C127" s="267"/>
      <c r="D127" s="255"/>
      <c r="E127" s="268"/>
      <c r="F127" s="268"/>
      <c r="G127" s="268"/>
      <c r="H127" s="255"/>
      <c r="I127" s="255"/>
      <c r="J127" s="266"/>
      <c r="K127" s="373"/>
      <c r="L127" s="254"/>
    </row>
    <row r="128" spans="1:12" s="272" customFormat="1" ht="12.75" x14ac:dyDescent="0.25">
      <c r="A128" s="276"/>
      <c r="B128" s="276" t="s">
        <v>660</v>
      </c>
      <c r="C128" s="276"/>
      <c r="D128" s="314"/>
      <c r="E128" s="316"/>
      <c r="F128" s="316"/>
      <c r="G128" s="316"/>
      <c r="H128" s="316"/>
      <c r="I128" s="316">
        <f>SUM(H129:H132)/27</f>
        <v>27.902962962962963</v>
      </c>
      <c r="J128" s="314" t="s">
        <v>382</v>
      </c>
      <c r="K128" s="373"/>
      <c r="L128" s="254"/>
    </row>
    <row r="129" spans="1:12" s="272" customFormat="1" ht="15" customHeight="1" x14ac:dyDescent="0.25">
      <c r="A129" s="266"/>
      <c r="B129" s="245" t="s">
        <v>662</v>
      </c>
      <c r="C129" s="267" t="s">
        <v>663</v>
      </c>
      <c r="D129" s="255">
        <v>1</v>
      </c>
      <c r="E129" s="547">
        <v>687.75</v>
      </c>
      <c r="F129" s="548"/>
      <c r="G129" s="268">
        <f>6/12</f>
        <v>0.5</v>
      </c>
      <c r="H129" s="255">
        <f>PRODUCT(D129:G129)</f>
        <v>343.875</v>
      </c>
      <c r="I129" s="255">
        <f>H129/27</f>
        <v>12.736111111111111</v>
      </c>
      <c r="J129" s="267"/>
      <c r="K129" s="373"/>
      <c r="L129" s="254"/>
    </row>
    <row r="130" spans="1:12" s="272" customFormat="1" ht="15" customHeight="1" x14ac:dyDescent="0.25">
      <c r="A130" s="266"/>
      <c r="B130" s="245" t="s">
        <v>664</v>
      </c>
      <c r="C130" s="267" t="s">
        <v>450</v>
      </c>
      <c r="D130" s="255">
        <v>1</v>
      </c>
      <c r="E130" s="547">
        <v>284.01</v>
      </c>
      <c r="F130" s="548"/>
      <c r="G130" s="268">
        <f>6/12</f>
        <v>0.5</v>
      </c>
      <c r="H130" s="255">
        <f>PRODUCT(D130:G130)</f>
        <v>142.005</v>
      </c>
      <c r="I130" s="255">
        <f t="shared" ref="I130:I131" si="8">H130/27</f>
        <v>5.2594444444444441</v>
      </c>
      <c r="J130" s="266"/>
      <c r="K130" s="373"/>
      <c r="L130" s="254"/>
    </row>
    <row r="131" spans="1:12" s="272" customFormat="1" ht="12.75" x14ac:dyDescent="0.25">
      <c r="A131" s="266"/>
      <c r="B131" s="245" t="s">
        <v>661</v>
      </c>
      <c r="C131" s="269"/>
      <c r="D131" s="255">
        <v>1</v>
      </c>
      <c r="E131" s="268">
        <v>15</v>
      </c>
      <c r="F131" s="268">
        <f>8+11/12</f>
        <v>8.9166666666666661</v>
      </c>
      <c r="G131" s="268">
        <f>24/12</f>
        <v>2</v>
      </c>
      <c r="H131" s="255">
        <f>PRODUCT(D131:G131)</f>
        <v>267.5</v>
      </c>
      <c r="I131" s="255">
        <f t="shared" si="8"/>
        <v>9.9074074074074066</v>
      </c>
      <c r="J131" s="267"/>
      <c r="K131" s="373"/>
      <c r="L131" s="254"/>
    </row>
    <row r="132" spans="1:12" s="272" customFormat="1" ht="12.75" x14ac:dyDescent="0.25">
      <c r="A132" s="266"/>
      <c r="B132" s="245"/>
      <c r="C132" s="269"/>
      <c r="D132" s="255"/>
      <c r="E132" s="268"/>
      <c r="F132" s="268"/>
      <c r="G132" s="268"/>
      <c r="H132" s="255"/>
      <c r="I132" s="255"/>
      <c r="J132" s="267"/>
      <c r="K132" s="374"/>
      <c r="L132" s="254"/>
    </row>
    <row r="133" spans="1:12" s="365" customFormat="1" ht="12.75" x14ac:dyDescent="0.25">
      <c r="A133" s="362">
        <v>10</v>
      </c>
      <c r="B133" s="370" t="s">
        <v>665</v>
      </c>
      <c r="C133" s="362"/>
      <c r="D133" s="362"/>
      <c r="E133" s="363"/>
      <c r="F133" s="363"/>
      <c r="G133" s="363"/>
      <c r="H133" s="363"/>
      <c r="I133" s="363">
        <f>SUM(H135:H147)</f>
        <v>777.50000000000011</v>
      </c>
      <c r="J133" s="362" t="s">
        <v>141</v>
      </c>
      <c r="K133" s="373"/>
      <c r="L133" s="364"/>
    </row>
    <row r="134" spans="1:12" s="365" customFormat="1" ht="12" x14ac:dyDescent="0.25">
      <c r="A134" s="367"/>
      <c r="B134" s="358" t="s">
        <v>666</v>
      </c>
      <c r="C134" s="366"/>
      <c r="D134" s="375"/>
      <c r="E134" s="376"/>
      <c r="F134" s="376"/>
      <c r="G134" s="376"/>
      <c r="H134" s="375"/>
      <c r="I134" s="375"/>
      <c r="J134" s="366"/>
      <c r="K134" s="372"/>
      <c r="L134" s="368"/>
    </row>
    <row r="135" spans="1:12" s="381" customFormat="1" ht="12" x14ac:dyDescent="0.25">
      <c r="A135" s="367"/>
      <c r="B135" s="367" t="s">
        <v>668</v>
      </c>
      <c r="C135" s="359"/>
      <c r="D135" s="378">
        <v>1</v>
      </c>
      <c r="E135" s="378">
        <v>13.57</v>
      </c>
      <c r="F135" s="378"/>
      <c r="G135" s="378">
        <v>10</v>
      </c>
      <c r="H135" s="378">
        <f>PRODUCT(D135:G135)</f>
        <v>135.69999999999999</v>
      </c>
      <c r="I135" s="378"/>
      <c r="J135" s="378"/>
      <c r="K135" s="379"/>
      <c r="L135" s="380"/>
    </row>
    <row r="136" spans="1:12" s="381" customFormat="1" ht="12" x14ac:dyDescent="0.25">
      <c r="A136" s="367"/>
      <c r="B136" s="367"/>
      <c r="C136" s="359"/>
      <c r="D136" s="378">
        <v>-2</v>
      </c>
      <c r="E136" s="361">
        <v>1.5</v>
      </c>
      <c r="F136" s="365"/>
      <c r="G136" s="361">
        <f>1+6/12</f>
        <v>1.5</v>
      </c>
      <c r="H136" s="378">
        <f>PRODUCT(D136:G136)</f>
        <v>-4.5</v>
      </c>
      <c r="I136" s="378"/>
      <c r="J136" s="378"/>
      <c r="K136" s="379"/>
      <c r="L136" s="380"/>
    </row>
    <row r="137" spans="1:12" s="381" customFormat="1" ht="12" x14ac:dyDescent="0.25">
      <c r="A137" s="367"/>
      <c r="B137" s="367" t="s">
        <v>668</v>
      </c>
      <c r="C137" s="359"/>
      <c r="D137" s="378">
        <v>2</v>
      </c>
      <c r="E137" s="378">
        <v>8.92</v>
      </c>
      <c r="F137" s="378"/>
      <c r="G137" s="378">
        <v>10</v>
      </c>
      <c r="H137" s="378">
        <f t="shared" ref="H137:H141" si="9">PRODUCT(D137:G137)</f>
        <v>178.4</v>
      </c>
      <c r="I137" s="378"/>
      <c r="J137" s="378"/>
      <c r="K137" s="379"/>
      <c r="L137" s="380"/>
    </row>
    <row r="138" spans="1:12" s="381" customFormat="1" ht="12" x14ac:dyDescent="0.25">
      <c r="A138" s="367"/>
      <c r="B138" s="367" t="s">
        <v>668</v>
      </c>
      <c r="C138" s="359"/>
      <c r="D138" s="378">
        <v>1</v>
      </c>
      <c r="E138" s="378">
        <v>13.57</v>
      </c>
      <c r="F138" s="378"/>
      <c r="G138" s="378">
        <v>10</v>
      </c>
      <c r="H138" s="378">
        <f t="shared" si="9"/>
        <v>135.69999999999999</v>
      </c>
      <c r="I138" s="378"/>
      <c r="J138" s="378"/>
      <c r="K138" s="379"/>
      <c r="L138" s="380"/>
    </row>
    <row r="139" spans="1:12" s="381" customFormat="1" ht="12" x14ac:dyDescent="0.25">
      <c r="A139" s="367"/>
      <c r="B139" s="367"/>
      <c r="C139" s="359"/>
      <c r="D139" s="378">
        <v>-1</v>
      </c>
      <c r="E139" s="361">
        <v>3.2</v>
      </c>
      <c r="F139" s="365"/>
      <c r="G139" s="361">
        <v>7</v>
      </c>
      <c r="H139" s="378">
        <f t="shared" si="9"/>
        <v>-22.400000000000002</v>
      </c>
      <c r="I139" s="378"/>
      <c r="J139" s="378"/>
      <c r="K139" s="379"/>
      <c r="L139" s="380"/>
    </row>
    <row r="140" spans="1:12" s="381" customFormat="1" ht="12" x14ac:dyDescent="0.25">
      <c r="A140" s="367"/>
      <c r="B140" s="367" t="s">
        <v>668</v>
      </c>
      <c r="C140" s="359"/>
      <c r="D140" s="378">
        <v>2</v>
      </c>
      <c r="E140" s="378">
        <v>8.92</v>
      </c>
      <c r="F140" s="378"/>
      <c r="G140" s="378">
        <v>10</v>
      </c>
      <c r="H140" s="378">
        <f t="shared" si="9"/>
        <v>178.4</v>
      </c>
      <c r="I140" s="378"/>
      <c r="J140" s="378"/>
      <c r="K140" s="379"/>
      <c r="L140" s="380"/>
    </row>
    <row r="141" spans="1:12" s="381" customFormat="1" ht="12" x14ac:dyDescent="0.25">
      <c r="A141" s="367"/>
      <c r="B141" s="367"/>
      <c r="C141" s="359"/>
      <c r="D141" s="378">
        <v>-1</v>
      </c>
      <c r="E141" s="361">
        <v>3.2</v>
      </c>
      <c r="F141" s="365"/>
      <c r="G141" s="361">
        <v>7</v>
      </c>
      <c r="H141" s="378">
        <f t="shared" si="9"/>
        <v>-22.400000000000002</v>
      </c>
      <c r="I141" s="378"/>
      <c r="J141" s="378"/>
      <c r="K141" s="379"/>
      <c r="L141" s="380"/>
    </row>
    <row r="142" spans="1:12" s="381" customFormat="1" ht="12" x14ac:dyDescent="0.25">
      <c r="A142" s="367"/>
      <c r="B142" s="367"/>
      <c r="C142" s="359"/>
      <c r="D142" s="378"/>
      <c r="E142" s="378"/>
      <c r="F142" s="378"/>
      <c r="G142" s="378"/>
      <c r="H142" s="378"/>
      <c r="I142" s="378"/>
      <c r="J142" s="378"/>
      <c r="K142" s="379"/>
      <c r="L142" s="380"/>
    </row>
    <row r="143" spans="1:12" s="365" customFormat="1" ht="12" x14ac:dyDescent="0.25">
      <c r="A143" s="366"/>
      <c r="B143" s="358" t="s">
        <v>667</v>
      </c>
      <c r="C143" s="366"/>
      <c r="D143" s="377"/>
      <c r="E143" s="377"/>
      <c r="F143" s="377"/>
      <c r="G143" s="377"/>
      <c r="H143" s="377"/>
      <c r="I143" s="378"/>
      <c r="J143" s="377"/>
      <c r="K143" s="372"/>
      <c r="L143" s="372"/>
    </row>
    <row r="144" spans="1:12" s="381" customFormat="1" ht="12" x14ac:dyDescent="0.25">
      <c r="A144" s="367"/>
      <c r="B144" s="367" t="s">
        <v>668</v>
      </c>
      <c r="C144" s="359"/>
      <c r="D144" s="378">
        <v>1</v>
      </c>
      <c r="E144" s="378">
        <v>15.05</v>
      </c>
      <c r="F144" s="378"/>
      <c r="G144" s="378">
        <v>10</v>
      </c>
      <c r="H144" s="378">
        <f>PRODUCT(D144:G144)</f>
        <v>150.5</v>
      </c>
      <c r="I144" s="378"/>
      <c r="J144" s="378"/>
      <c r="K144" s="379"/>
      <c r="L144" s="380"/>
    </row>
    <row r="145" spans="1:12" s="365" customFormat="1" ht="12" x14ac:dyDescent="0.25">
      <c r="A145" s="366"/>
      <c r="B145" s="367"/>
      <c r="C145" s="359"/>
      <c r="D145" s="378">
        <v>-2</v>
      </c>
      <c r="E145" s="361">
        <v>1.5</v>
      </c>
      <c r="G145" s="361">
        <f>1+6/12</f>
        <v>1.5</v>
      </c>
      <c r="H145" s="378">
        <f>PRODUCT(D145:G145)</f>
        <v>-4.5</v>
      </c>
      <c r="I145" s="378"/>
      <c r="J145" s="378"/>
      <c r="K145" s="372"/>
      <c r="L145" s="368"/>
    </row>
    <row r="146" spans="1:12" s="381" customFormat="1" ht="12" x14ac:dyDescent="0.25">
      <c r="A146" s="367"/>
      <c r="B146" s="367" t="s">
        <v>668</v>
      </c>
      <c r="C146" s="359"/>
      <c r="D146" s="378">
        <v>1</v>
      </c>
      <c r="E146" s="378">
        <v>7.5</v>
      </c>
      <c r="F146" s="378"/>
      <c r="G146" s="378">
        <v>10</v>
      </c>
      <c r="H146" s="378">
        <f>PRODUCT(D146:G146)</f>
        <v>75</v>
      </c>
      <c r="I146" s="378"/>
      <c r="J146" s="378"/>
      <c r="K146" s="379"/>
      <c r="L146" s="380"/>
    </row>
    <row r="147" spans="1:12" s="381" customFormat="1" ht="12" x14ac:dyDescent="0.25">
      <c r="A147" s="367"/>
      <c r="B147" s="367"/>
      <c r="C147" s="359"/>
      <c r="D147" s="378">
        <v>-1</v>
      </c>
      <c r="E147" s="361">
        <v>3.2</v>
      </c>
      <c r="F147" s="365"/>
      <c r="G147" s="361">
        <v>7</v>
      </c>
      <c r="H147" s="378">
        <f>PRODUCT(D147:G147)</f>
        <v>-22.400000000000002</v>
      </c>
      <c r="I147" s="378"/>
      <c r="J147" s="378"/>
      <c r="K147" s="379"/>
      <c r="L147" s="380"/>
    </row>
    <row r="148" spans="1:12" s="381" customFormat="1" ht="12" x14ac:dyDescent="0.25">
      <c r="A148" s="367"/>
      <c r="B148" s="367"/>
      <c r="C148" s="359"/>
      <c r="D148" s="378"/>
      <c r="E148" s="361"/>
      <c r="F148" s="365"/>
      <c r="G148" s="361"/>
      <c r="H148" s="378"/>
      <c r="I148" s="378"/>
      <c r="J148" s="378"/>
      <c r="K148" s="379"/>
      <c r="L148" s="380"/>
    </row>
    <row r="149" spans="1:12" s="381" customFormat="1" ht="12" x14ac:dyDescent="0.25">
      <c r="A149" s="367"/>
      <c r="B149" s="367" t="s">
        <v>678</v>
      </c>
      <c r="C149" s="359"/>
      <c r="D149" s="378">
        <v>1</v>
      </c>
      <c r="E149" s="378">
        <v>7.5</v>
      </c>
      <c r="F149" s="378"/>
      <c r="G149" s="378">
        <v>10</v>
      </c>
      <c r="H149" s="378"/>
      <c r="I149" s="378"/>
      <c r="J149" s="378"/>
      <c r="K149" s="379"/>
      <c r="L149" s="380"/>
    </row>
    <row r="150" spans="1:12" s="365" customFormat="1" ht="12" x14ac:dyDescent="0.25">
      <c r="A150" s="366"/>
      <c r="B150" s="367" t="s">
        <v>479</v>
      </c>
      <c r="D150" s="378">
        <v>2</v>
      </c>
      <c r="E150" s="378">
        <f>E149</f>
        <v>7.5</v>
      </c>
      <c r="F150" s="378"/>
      <c r="G150" s="378">
        <f>G149</f>
        <v>10</v>
      </c>
      <c r="H150" s="378">
        <f>PRODUCT(D150:G150)</f>
        <v>150</v>
      </c>
      <c r="I150" s="378">
        <f>H150</f>
        <v>150</v>
      </c>
      <c r="J150" s="378" t="s">
        <v>141</v>
      </c>
      <c r="K150" s="372"/>
      <c r="L150" s="368"/>
    </row>
    <row r="151" spans="1:12" s="365" customFormat="1" ht="12" x14ac:dyDescent="0.25">
      <c r="A151" s="366"/>
      <c r="B151" s="367" t="s">
        <v>480</v>
      </c>
      <c r="C151" s="359"/>
      <c r="D151" s="378">
        <v>1</v>
      </c>
      <c r="E151" s="378">
        <f>E150</f>
        <v>7.5</v>
      </c>
      <c r="F151" s="378"/>
      <c r="G151" s="378">
        <f>G150</f>
        <v>10</v>
      </c>
      <c r="H151" s="378">
        <f>PRODUCT(D151:G151)</f>
        <v>75</v>
      </c>
      <c r="I151" s="378">
        <f t="shared" ref="I151:I153" si="10">H151</f>
        <v>75</v>
      </c>
      <c r="J151" s="378" t="s">
        <v>141</v>
      </c>
      <c r="K151" s="372"/>
      <c r="L151" s="368"/>
    </row>
    <row r="152" spans="1:12" s="365" customFormat="1" ht="12" x14ac:dyDescent="0.25">
      <c r="A152" s="366"/>
      <c r="B152" s="367" t="s">
        <v>481</v>
      </c>
      <c r="C152" s="359"/>
      <c r="D152" s="378">
        <f>ROUNDUP(E151/(16/12),0)</f>
        <v>6</v>
      </c>
      <c r="E152" s="378">
        <f>G151</f>
        <v>10</v>
      </c>
      <c r="F152" s="378"/>
      <c r="G152" s="378"/>
      <c r="H152" s="378">
        <f>PRODUCT(D152:G152)</f>
        <v>60</v>
      </c>
      <c r="I152" s="378">
        <f t="shared" si="10"/>
        <v>60</v>
      </c>
      <c r="J152" s="378" t="s">
        <v>483</v>
      </c>
      <c r="K152" s="372"/>
      <c r="L152" s="368"/>
    </row>
    <row r="153" spans="1:12" s="365" customFormat="1" ht="12" x14ac:dyDescent="0.25">
      <c r="A153" s="366"/>
      <c r="B153" s="367" t="s">
        <v>482</v>
      </c>
      <c r="C153" s="359"/>
      <c r="D153" s="378">
        <f>ROUNDUP(E152/4,0)</f>
        <v>3</v>
      </c>
      <c r="E153" s="378">
        <f>E151</f>
        <v>7.5</v>
      </c>
      <c r="F153" s="378"/>
      <c r="G153" s="378"/>
      <c r="H153" s="378">
        <f>PRODUCT(D153:G153)</f>
        <v>22.5</v>
      </c>
      <c r="I153" s="378">
        <f t="shared" si="10"/>
        <v>22.5</v>
      </c>
      <c r="J153" s="378" t="s">
        <v>483</v>
      </c>
      <c r="K153" s="372"/>
      <c r="L153" s="368"/>
    </row>
    <row r="154" spans="1:12" s="381" customFormat="1" ht="12" x14ac:dyDescent="0.25">
      <c r="A154" s="367"/>
      <c r="B154" s="367" t="s">
        <v>678</v>
      </c>
      <c r="C154" s="359"/>
      <c r="D154" s="378">
        <v>1</v>
      </c>
      <c r="E154" s="378">
        <v>15.03</v>
      </c>
      <c r="F154" s="378"/>
      <c r="G154" s="378">
        <v>10</v>
      </c>
      <c r="H154" s="378"/>
      <c r="I154" s="378"/>
      <c r="J154" s="378"/>
      <c r="K154" s="379"/>
      <c r="L154" s="380"/>
    </row>
    <row r="155" spans="1:12" s="365" customFormat="1" ht="12" x14ac:dyDescent="0.25">
      <c r="A155" s="366"/>
      <c r="B155" s="367" t="s">
        <v>479</v>
      </c>
      <c r="D155" s="378">
        <v>2</v>
      </c>
      <c r="E155" s="378">
        <f>E154</f>
        <v>15.03</v>
      </c>
      <c r="F155" s="378"/>
      <c r="G155" s="378">
        <f>G154</f>
        <v>10</v>
      </c>
      <c r="H155" s="378">
        <f>PRODUCT(D155:G155)</f>
        <v>300.59999999999997</v>
      </c>
      <c r="I155" s="378">
        <f>H155</f>
        <v>300.59999999999997</v>
      </c>
      <c r="J155" s="378" t="s">
        <v>141</v>
      </c>
      <c r="K155" s="372"/>
      <c r="L155" s="368"/>
    </row>
    <row r="156" spans="1:12" s="365" customFormat="1" ht="12" x14ac:dyDescent="0.25">
      <c r="A156" s="366"/>
      <c r="B156" s="367" t="s">
        <v>480</v>
      </c>
      <c r="C156" s="359"/>
      <c r="D156" s="378">
        <v>1</v>
      </c>
      <c r="E156" s="378">
        <f>E155</f>
        <v>15.03</v>
      </c>
      <c r="F156" s="378"/>
      <c r="G156" s="378">
        <f>G155</f>
        <v>10</v>
      </c>
      <c r="H156" s="378">
        <f>PRODUCT(D156:G156)</f>
        <v>150.29999999999998</v>
      </c>
      <c r="I156" s="378">
        <f t="shared" ref="I156:I158" si="11">H156</f>
        <v>150.29999999999998</v>
      </c>
      <c r="J156" s="378" t="s">
        <v>141</v>
      </c>
      <c r="K156" s="372"/>
      <c r="L156" s="368"/>
    </row>
    <row r="157" spans="1:12" s="365" customFormat="1" ht="12" x14ac:dyDescent="0.25">
      <c r="A157" s="366"/>
      <c r="B157" s="367" t="s">
        <v>481</v>
      </c>
      <c r="C157" s="359"/>
      <c r="D157" s="378">
        <f>ROUNDUP(E156/(16/12),0)</f>
        <v>12</v>
      </c>
      <c r="E157" s="378">
        <f>G156</f>
        <v>10</v>
      </c>
      <c r="F157" s="378"/>
      <c r="G157" s="378"/>
      <c r="H157" s="378">
        <f>PRODUCT(D157:G157)</f>
        <v>120</v>
      </c>
      <c r="I157" s="378">
        <f t="shared" si="11"/>
        <v>120</v>
      </c>
      <c r="J157" s="378" t="s">
        <v>483</v>
      </c>
      <c r="K157" s="372"/>
      <c r="L157" s="368"/>
    </row>
    <row r="158" spans="1:12" s="365" customFormat="1" ht="12" x14ac:dyDescent="0.25">
      <c r="A158" s="366"/>
      <c r="B158" s="367" t="s">
        <v>482</v>
      </c>
      <c r="C158" s="359"/>
      <c r="D158" s="378">
        <f>ROUNDUP(E157/4,0)</f>
        <v>3</v>
      </c>
      <c r="E158" s="378">
        <f>E156</f>
        <v>15.03</v>
      </c>
      <c r="F158" s="378"/>
      <c r="G158" s="378"/>
      <c r="H158" s="378">
        <f>PRODUCT(D158:G158)</f>
        <v>45.089999999999996</v>
      </c>
      <c r="I158" s="378">
        <f t="shared" si="11"/>
        <v>45.089999999999996</v>
      </c>
      <c r="J158" s="378" t="s">
        <v>483</v>
      </c>
      <c r="K158" s="372"/>
      <c r="L158" s="368"/>
    </row>
    <row r="159" spans="1:12" s="381" customFormat="1" ht="12" x14ac:dyDescent="0.25">
      <c r="A159" s="367"/>
      <c r="B159" s="367"/>
      <c r="C159" s="359"/>
      <c r="D159" s="378"/>
      <c r="E159" s="378"/>
      <c r="F159" s="384"/>
      <c r="G159" s="378"/>
      <c r="H159" s="378"/>
      <c r="I159" s="378"/>
      <c r="J159" s="378"/>
      <c r="K159" s="385"/>
      <c r="L159" s="380"/>
    </row>
    <row r="160" spans="1:12" s="381" customFormat="1" ht="12" x14ac:dyDescent="0.25">
      <c r="A160" s="367"/>
      <c r="B160" s="367"/>
      <c r="C160" s="359"/>
      <c r="D160" s="378"/>
      <c r="E160" s="378"/>
      <c r="F160" s="384"/>
      <c r="G160" s="378"/>
      <c r="H160" s="378"/>
      <c r="I160" s="378"/>
      <c r="J160" s="378"/>
      <c r="K160" s="385"/>
      <c r="L160" s="380"/>
    </row>
    <row r="161" spans="1:12" s="381" customFormat="1" ht="12" x14ac:dyDescent="0.25">
      <c r="A161" s="367"/>
      <c r="B161" s="367"/>
      <c r="C161" s="359"/>
      <c r="D161" s="378"/>
      <c r="E161" s="378"/>
      <c r="F161" s="384"/>
      <c r="G161" s="378"/>
      <c r="H161" s="378"/>
      <c r="I161" s="378"/>
      <c r="J161" s="378"/>
      <c r="K161" s="385"/>
      <c r="L161" s="380"/>
    </row>
    <row r="162" spans="1:12" s="365" customFormat="1" ht="12" x14ac:dyDescent="0.25">
      <c r="A162" s="366"/>
      <c r="B162" s="367"/>
      <c r="C162" s="359"/>
      <c r="D162" s="378"/>
      <c r="E162" s="361"/>
      <c r="G162" s="361"/>
      <c r="H162" s="378"/>
      <c r="I162" s="378"/>
      <c r="J162" s="378"/>
      <c r="K162" s="382"/>
      <c r="L162" s="368"/>
    </row>
    <row r="163" spans="1:12" s="365" customFormat="1" ht="12" x14ac:dyDescent="0.25">
      <c r="A163" s="362"/>
      <c r="B163" s="370" t="s">
        <v>524</v>
      </c>
      <c r="C163" s="362"/>
      <c r="D163" s="362"/>
      <c r="E163" s="363"/>
      <c r="F163" s="363"/>
      <c r="G163" s="363"/>
      <c r="H163" s="363"/>
      <c r="I163" s="363"/>
      <c r="J163" s="362"/>
      <c r="K163" s="364"/>
      <c r="L163" s="364"/>
    </row>
    <row r="164" spans="1:12" s="365" customFormat="1" ht="12" x14ac:dyDescent="0.25">
      <c r="A164" s="366"/>
      <c r="B164" s="358" t="s">
        <v>666</v>
      </c>
      <c r="C164" s="359"/>
      <c r="D164" s="378">
        <v>1</v>
      </c>
      <c r="E164" s="377">
        <v>7.58</v>
      </c>
      <c r="F164" s="377">
        <v>6.4</v>
      </c>
      <c r="G164" s="377"/>
      <c r="H164" s="378"/>
      <c r="I164" s="378"/>
      <c r="J164" s="378"/>
      <c r="K164" s="372"/>
      <c r="L164" s="368"/>
    </row>
    <row r="165" spans="1:12" s="365" customFormat="1" ht="12" x14ac:dyDescent="0.25">
      <c r="A165" s="366"/>
      <c r="B165" s="367" t="s">
        <v>529</v>
      </c>
      <c r="C165" s="359"/>
      <c r="D165" s="378">
        <v>1</v>
      </c>
      <c r="E165" s="378">
        <f>E164</f>
        <v>7.58</v>
      </c>
      <c r="F165" s="378">
        <f>F164</f>
        <v>6.4</v>
      </c>
      <c r="G165" s="378"/>
      <c r="H165" s="378">
        <f>PRODUCT(D165:G165)</f>
        <v>48.512</v>
      </c>
      <c r="I165" s="378"/>
      <c r="J165" s="378" t="s">
        <v>141</v>
      </c>
      <c r="K165" s="372"/>
      <c r="L165" s="368"/>
    </row>
    <row r="166" spans="1:12" s="365" customFormat="1" ht="12" x14ac:dyDescent="0.25">
      <c r="A166" s="366"/>
      <c r="B166" s="367" t="s">
        <v>530</v>
      </c>
      <c r="C166" s="359"/>
      <c r="D166" s="378">
        <v>1</v>
      </c>
      <c r="E166" s="378">
        <f>E165</f>
        <v>7.58</v>
      </c>
      <c r="F166" s="378">
        <f>F165</f>
        <v>6.4</v>
      </c>
      <c r="G166" s="378"/>
      <c r="H166" s="378">
        <f>PRODUCT(D166:G166)</f>
        <v>48.512</v>
      </c>
      <c r="I166" s="378"/>
      <c r="J166" s="378" t="s">
        <v>141</v>
      </c>
      <c r="K166" s="372"/>
      <c r="L166" s="368"/>
    </row>
    <row r="167" spans="1:12" s="365" customFormat="1" ht="12" x14ac:dyDescent="0.25">
      <c r="A167" s="366"/>
      <c r="B167" s="367" t="s">
        <v>531</v>
      </c>
      <c r="C167" s="359"/>
      <c r="D167" s="378">
        <f>ROUNDUP(E166/(16/12),0)</f>
        <v>6</v>
      </c>
      <c r="E167" s="378">
        <f>F166</f>
        <v>6.4</v>
      </c>
      <c r="F167" s="378"/>
      <c r="G167" s="378"/>
      <c r="H167" s="378">
        <f>PRODUCT(D167:G167)</f>
        <v>38.400000000000006</v>
      </c>
      <c r="I167" s="378"/>
      <c r="J167" s="378" t="s">
        <v>483</v>
      </c>
      <c r="K167" s="372"/>
      <c r="L167" s="368"/>
    </row>
    <row r="168" spans="1:12" s="365" customFormat="1" ht="12" x14ac:dyDescent="0.25">
      <c r="A168" s="366"/>
      <c r="B168" s="367" t="s">
        <v>532</v>
      </c>
      <c r="C168" s="359"/>
      <c r="D168" s="378">
        <f>ROUNDUP(E167/2,0)</f>
        <v>4</v>
      </c>
      <c r="E168" s="378">
        <f>E166</f>
        <v>7.58</v>
      </c>
      <c r="F168" s="378"/>
      <c r="G168" s="378"/>
      <c r="H168" s="378">
        <f>PRODUCT(D168:G168)</f>
        <v>30.32</v>
      </c>
      <c r="I168" s="378"/>
      <c r="J168" s="378" t="s">
        <v>483</v>
      </c>
      <c r="K168" s="372"/>
      <c r="L168" s="368"/>
    </row>
    <row r="169" spans="1:12" s="365" customFormat="1" ht="12" x14ac:dyDescent="0.25">
      <c r="A169" s="366"/>
      <c r="B169" s="358" t="s">
        <v>667</v>
      </c>
      <c r="C169" s="359"/>
      <c r="D169" s="378">
        <v>1</v>
      </c>
      <c r="E169" s="377">
        <v>7.58</v>
      </c>
      <c r="F169" s="378">
        <v>13.4</v>
      </c>
      <c r="G169" s="378"/>
      <c r="H169" s="378"/>
      <c r="I169" s="378"/>
      <c r="J169" s="378"/>
      <c r="K169" s="372"/>
      <c r="L169" s="368"/>
    </row>
    <row r="170" spans="1:12" s="365" customFormat="1" ht="12" x14ac:dyDescent="0.25">
      <c r="A170" s="366"/>
      <c r="B170" s="367" t="s">
        <v>529</v>
      </c>
      <c r="C170" s="359"/>
      <c r="D170" s="378">
        <v>1</v>
      </c>
      <c r="E170" s="378">
        <f>E169</f>
        <v>7.58</v>
      </c>
      <c r="F170" s="378">
        <f>F169</f>
        <v>13.4</v>
      </c>
      <c r="G170" s="378"/>
      <c r="H170" s="378">
        <f>PRODUCT(D170:G170)</f>
        <v>101.572</v>
      </c>
      <c r="I170" s="378"/>
      <c r="J170" s="378" t="s">
        <v>141</v>
      </c>
      <c r="K170" s="372"/>
      <c r="L170" s="368"/>
    </row>
    <row r="171" spans="1:12" s="365" customFormat="1" ht="12" x14ac:dyDescent="0.25">
      <c r="A171" s="366"/>
      <c r="B171" s="367" t="s">
        <v>530</v>
      </c>
      <c r="C171" s="359"/>
      <c r="D171" s="378">
        <v>1</v>
      </c>
      <c r="E171" s="378">
        <f>E170</f>
        <v>7.58</v>
      </c>
      <c r="F171" s="378">
        <f>F170</f>
        <v>13.4</v>
      </c>
      <c r="G171" s="378"/>
      <c r="H171" s="378">
        <f>PRODUCT(D171:G171)</f>
        <v>101.572</v>
      </c>
      <c r="I171" s="378"/>
      <c r="J171" s="378" t="s">
        <v>141</v>
      </c>
      <c r="K171" s="372"/>
      <c r="L171" s="368"/>
    </row>
    <row r="172" spans="1:12" s="365" customFormat="1" ht="12" x14ac:dyDescent="0.25">
      <c r="A172" s="366"/>
      <c r="B172" s="367" t="s">
        <v>531</v>
      </c>
      <c r="C172" s="359"/>
      <c r="D172" s="378">
        <f>ROUNDUP(E171/(16/12),0)</f>
        <v>6</v>
      </c>
      <c r="E172" s="378">
        <f>F171</f>
        <v>13.4</v>
      </c>
      <c r="F172" s="378"/>
      <c r="G172" s="378"/>
      <c r="H172" s="378">
        <f>PRODUCT(D172:G172)</f>
        <v>80.400000000000006</v>
      </c>
      <c r="I172" s="378"/>
      <c r="J172" s="378" t="s">
        <v>483</v>
      </c>
      <c r="K172" s="372"/>
      <c r="L172" s="368"/>
    </row>
    <row r="173" spans="1:12" s="365" customFormat="1" ht="12" x14ac:dyDescent="0.25">
      <c r="A173" s="366"/>
      <c r="B173" s="367" t="s">
        <v>532</v>
      </c>
      <c r="C173" s="359"/>
      <c r="D173" s="378">
        <f>ROUNDUP(E172/2,0)</f>
        <v>7</v>
      </c>
      <c r="E173" s="378">
        <f>E171</f>
        <v>7.58</v>
      </c>
      <c r="F173" s="378"/>
      <c r="G173" s="378"/>
      <c r="H173" s="378">
        <f>PRODUCT(D173:G173)</f>
        <v>53.06</v>
      </c>
      <c r="I173" s="378"/>
      <c r="J173" s="378" t="s">
        <v>483</v>
      </c>
      <c r="K173" s="372"/>
      <c r="L173" s="368"/>
    </row>
    <row r="174" spans="1:12" s="365" customFormat="1" ht="12" x14ac:dyDescent="0.25">
      <c r="A174" s="366"/>
      <c r="B174" s="368" t="s">
        <v>669</v>
      </c>
      <c r="C174" s="359"/>
      <c r="D174" s="378">
        <v>1</v>
      </c>
      <c r="E174" s="378">
        <v>5.88</v>
      </c>
      <c r="F174" s="378">
        <f>5+1/12</f>
        <v>5.083333333333333</v>
      </c>
      <c r="G174" s="378"/>
      <c r="H174" s="378"/>
      <c r="I174" s="378"/>
      <c r="J174" s="378"/>
      <c r="K174" s="372"/>
      <c r="L174" s="368"/>
    </row>
    <row r="175" spans="1:12" s="365" customFormat="1" ht="12" x14ac:dyDescent="0.25">
      <c r="A175" s="366"/>
      <c r="B175" s="367" t="s">
        <v>529</v>
      </c>
      <c r="C175" s="359"/>
      <c r="D175" s="378">
        <v>1</v>
      </c>
      <c r="E175" s="378">
        <f>E174</f>
        <v>5.88</v>
      </c>
      <c r="F175" s="378">
        <f>F174</f>
        <v>5.083333333333333</v>
      </c>
      <c r="G175" s="378"/>
      <c r="H175" s="378">
        <f>PRODUCT(D175:G175)</f>
        <v>29.889999999999997</v>
      </c>
      <c r="I175" s="378"/>
      <c r="J175" s="378" t="s">
        <v>141</v>
      </c>
      <c r="K175" s="372"/>
      <c r="L175" s="368"/>
    </row>
    <row r="176" spans="1:12" s="365" customFormat="1" ht="12" x14ac:dyDescent="0.25">
      <c r="A176" s="366"/>
      <c r="B176" s="367" t="s">
        <v>530</v>
      </c>
      <c r="C176" s="359"/>
      <c r="D176" s="378">
        <v>1</v>
      </c>
      <c r="E176" s="378">
        <f>E175</f>
        <v>5.88</v>
      </c>
      <c r="F176" s="378">
        <f>F175</f>
        <v>5.083333333333333</v>
      </c>
      <c r="G176" s="378"/>
      <c r="H176" s="378">
        <f>PRODUCT(D176:G176)</f>
        <v>29.889999999999997</v>
      </c>
      <c r="I176" s="378"/>
      <c r="J176" s="378" t="s">
        <v>141</v>
      </c>
      <c r="K176" s="372"/>
      <c r="L176" s="368"/>
    </row>
    <row r="177" spans="1:12" s="365" customFormat="1" ht="12" x14ac:dyDescent="0.25">
      <c r="A177" s="366"/>
      <c r="B177" s="367" t="s">
        <v>531</v>
      </c>
      <c r="C177" s="359"/>
      <c r="D177" s="378">
        <f>ROUNDUP(E176/(16/12),0)</f>
        <v>5</v>
      </c>
      <c r="E177" s="378">
        <f>F176</f>
        <v>5.083333333333333</v>
      </c>
      <c r="F177" s="378"/>
      <c r="G177" s="378"/>
      <c r="H177" s="378">
        <f>PRODUCT(D177:G177)</f>
        <v>25.416666666666664</v>
      </c>
      <c r="I177" s="378"/>
      <c r="J177" s="378" t="s">
        <v>483</v>
      </c>
      <c r="K177" s="372"/>
      <c r="L177" s="368"/>
    </row>
    <row r="178" spans="1:12" s="365" customFormat="1" ht="12" x14ac:dyDescent="0.25">
      <c r="A178" s="366"/>
      <c r="B178" s="367" t="s">
        <v>532</v>
      </c>
      <c r="C178" s="359"/>
      <c r="D178" s="378">
        <f>ROUNDUP(E177/2,0)</f>
        <v>3</v>
      </c>
      <c r="E178" s="378">
        <f>E176</f>
        <v>5.88</v>
      </c>
      <c r="F178" s="378"/>
      <c r="G178" s="378"/>
      <c r="H178" s="378">
        <f>PRODUCT(D178:G178)</f>
        <v>17.64</v>
      </c>
      <c r="I178" s="378"/>
      <c r="J178" s="378" t="s">
        <v>483</v>
      </c>
      <c r="K178" s="372"/>
      <c r="L178" s="368"/>
    </row>
    <row r="179" spans="1:12" s="365" customFormat="1" ht="12" x14ac:dyDescent="0.25">
      <c r="A179" s="366"/>
      <c r="B179" s="367" t="s">
        <v>533</v>
      </c>
      <c r="C179" s="359"/>
      <c r="D179" s="360">
        <v>1</v>
      </c>
      <c r="E179" s="361">
        <f>H132*0.9</f>
        <v>0</v>
      </c>
      <c r="F179" s="361"/>
      <c r="G179" s="361"/>
      <c r="H179" s="378">
        <f>PRODUCT(D179:G179)</f>
        <v>0</v>
      </c>
      <c r="I179" s="360"/>
      <c r="J179" s="380" t="s">
        <v>647</v>
      </c>
      <c r="K179" s="372"/>
      <c r="L179" s="368"/>
    </row>
    <row r="180" spans="1:12" s="365" customFormat="1" ht="12" x14ac:dyDescent="0.25">
      <c r="A180" s="366"/>
      <c r="B180" s="367"/>
      <c r="C180" s="359"/>
      <c r="D180" s="378"/>
      <c r="E180" s="361"/>
      <c r="G180" s="361"/>
      <c r="H180" s="378"/>
      <c r="I180" s="378"/>
      <c r="J180" s="378"/>
      <c r="K180" s="382"/>
      <c r="L180" s="368"/>
    </row>
    <row r="181" spans="1:12" s="365" customFormat="1" ht="12.75" x14ac:dyDescent="0.25">
      <c r="A181" s="362">
        <v>12</v>
      </c>
      <c r="B181" s="280" t="s">
        <v>616</v>
      </c>
      <c r="C181" s="362"/>
      <c r="D181" s="362"/>
      <c r="E181" s="363"/>
      <c r="F181" s="363"/>
      <c r="G181" s="363"/>
      <c r="H181" s="363"/>
      <c r="I181" s="363">
        <f>+SUM(H182:H184)</f>
        <v>79.333333333333343</v>
      </c>
      <c r="J181" s="383" t="s">
        <v>483</v>
      </c>
      <c r="K181" s="364"/>
      <c r="L181" s="364"/>
    </row>
    <row r="182" spans="1:12" s="365" customFormat="1" ht="12" x14ac:dyDescent="0.25">
      <c r="A182" s="366"/>
      <c r="B182" s="367" t="s">
        <v>670</v>
      </c>
      <c r="C182" s="359" t="s">
        <v>663</v>
      </c>
      <c r="D182" s="360">
        <v>2</v>
      </c>
      <c r="E182" s="361">
        <f>4.5*2</f>
        <v>9</v>
      </c>
      <c r="F182" s="361"/>
      <c r="G182" s="361"/>
      <c r="H182" s="378">
        <f>PRODUCT(D182:G182)</f>
        <v>18</v>
      </c>
      <c r="I182" s="378"/>
      <c r="J182" s="378"/>
      <c r="K182" s="372"/>
      <c r="L182" s="368"/>
    </row>
    <row r="183" spans="1:12" s="365" customFormat="1" ht="12" x14ac:dyDescent="0.25">
      <c r="A183" s="366"/>
      <c r="B183" s="367" t="s">
        <v>670</v>
      </c>
      <c r="C183" s="359" t="s">
        <v>450</v>
      </c>
      <c r="D183" s="360">
        <v>2</v>
      </c>
      <c r="E183" s="361">
        <v>8</v>
      </c>
      <c r="F183" s="361"/>
      <c r="G183" s="361"/>
      <c r="H183" s="378">
        <f>PRODUCT(D183:G183)</f>
        <v>16</v>
      </c>
      <c r="I183" s="378"/>
      <c r="J183" s="378"/>
      <c r="K183" s="372"/>
      <c r="L183" s="368"/>
    </row>
    <row r="184" spans="1:12" s="365" customFormat="1" ht="12" x14ac:dyDescent="0.25">
      <c r="A184" s="366"/>
      <c r="B184" s="367"/>
      <c r="C184" s="359"/>
      <c r="D184" s="360">
        <f>8+8</f>
        <v>16</v>
      </c>
      <c r="E184" s="361">
        <f>2+10/12</f>
        <v>2.8333333333333335</v>
      </c>
      <c r="F184" s="361"/>
      <c r="G184" s="361"/>
      <c r="H184" s="378">
        <f>PRODUCT(D184:G184)</f>
        <v>45.333333333333336</v>
      </c>
      <c r="I184" s="378"/>
      <c r="J184" s="378"/>
      <c r="K184" s="372"/>
      <c r="L184" s="368"/>
    </row>
    <row r="185" spans="1:12" s="365" customFormat="1" ht="12" x14ac:dyDescent="0.25">
      <c r="A185" s="362">
        <v>13</v>
      </c>
      <c r="B185" s="370" t="s">
        <v>671</v>
      </c>
      <c r="C185" s="362"/>
      <c r="D185" s="362"/>
      <c r="E185" s="363"/>
      <c r="F185" s="363"/>
      <c r="G185" s="363"/>
      <c r="H185" s="363"/>
      <c r="I185" s="363">
        <f>SUM(H186:H194)</f>
        <v>1118.4916666666668</v>
      </c>
      <c r="J185" s="383" t="s">
        <v>672</v>
      </c>
      <c r="K185" s="364"/>
      <c r="L185" s="364"/>
    </row>
    <row r="186" spans="1:12" s="365" customFormat="1" ht="12" x14ac:dyDescent="0.25">
      <c r="A186" s="366"/>
      <c r="B186" s="367"/>
      <c r="C186" s="359"/>
      <c r="D186" s="360"/>
      <c r="E186" s="361"/>
      <c r="F186" s="361"/>
      <c r="G186" s="361"/>
      <c r="H186" s="360"/>
      <c r="I186" s="360"/>
      <c r="J186" s="380"/>
      <c r="K186" s="372"/>
      <c r="L186" s="368"/>
    </row>
    <row r="187" spans="1:12" s="365" customFormat="1" ht="12.75" x14ac:dyDescent="0.25">
      <c r="A187" s="366"/>
      <c r="B187" s="367" t="s">
        <v>550</v>
      </c>
      <c r="C187" s="367" t="s">
        <v>666</v>
      </c>
      <c r="D187" s="360">
        <v>1</v>
      </c>
      <c r="E187" s="361">
        <f>7+7/12</f>
        <v>7.583333333333333</v>
      </c>
      <c r="F187" s="361">
        <v>6.4</v>
      </c>
      <c r="G187" s="361"/>
      <c r="H187" s="255">
        <f t="shared" ref="H187:H193" si="12">PRODUCT(D187:G187)</f>
        <v>48.533333333333331</v>
      </c>
      <c r="I187" s="360">
        <f>H187</f>
        <v>48.533333333333331</v>
      </c>
      <c r="J187" s="366"/>
      <c r="K187" s="372"/>
      <c r="L187" s="368"/>
    </row>
    <row r="188" spans="1:12" s="365" customFormat="1" ht="12.75" x14ac:dyDescent="0.25">
      <c r="A188" s="366"/>
      <c r="B188" s="367" t="s">
        <v>550</v>
      </c>
      <c r="C188" s="367" t="s">
        <v>667</v>
      </c>
      <c r="D188" s="360">
        <v>1</v>
      </c>
      <c r="E188" s="361">
        <f>13+8/12</f>
        <v>13.666666666666666</v>
      </c>
      <c r="F188" s="361">
        <f>7+7/12</f>
        <v>7.583333333333333</v>
      </c>
      <c r="G188" s="361"/>
      <c r="H188" s="255">
        <f t="shared" si="12"/>
        <v>103.63888888888889</v>
      </c>
      <c r="I188" s="360">
        <f t="shared" ref="I188:I193" si="13">H188</f>
        <v>103.63888888888889</v>
      </c>
      <c r="J188" s="366"/>
      <c r="K188" s="372"/>
      <c r="L188" s="368"/>
    </row>
    <row r="189" spans="1:12" s="365" customFormat="1" ht="12.75" x14ac:dyDescent="0.25">
      <c r="A189" s="366"/>
      <c r="B189" s="367" t="s">
        <v>550</v>
      </c>
      <c r="C189" s="367" t="s">
        <v>673</v>
      </c>
      <c r="D189" s="360">
        <v>1</v>
      </c>
      <c r="E189" s="361">
        <f>5+1/12</f>
        <v>5.083333333333333</v>
      </c>
      <c r="F189" s="361">
        <f>5+11/12</f>
        <v>5.916666666666667</v>
      </c>
      <c r="G189" s="361"/>
      <c r="H189" s="255">
        <f t="shared" si="12"/>
        <v>30.076388888888889</v>
      </c>
      <c r="I189" s="360">
        <f t="shared" si="13"/>
        <v>30.076388888888889</v>
      </c>
      <c r="J189" s="366"/>
      <c r="K189" s="372"/>
      <c r="L189" s="368"/>
    </row>
    <row r="190" spans="1:12" s="365" customFormat="1" ht="12.75" x14ac:dyDescent="0.25">
      <c r="A190" s="366"/>
      <c r="B190" s="269" t="s">
        <v>543</v>
      </c>
      <c r="C190" s="367" t="s">
        <v>677</v>
      </c>
      <c r="D190" s="360">
        <v>1</v>
      </c>
      <c r="E190" s="361">
        <v>20</v>
      </c>
      <c r="F190" s="361">
        <v>10</v>
      </c>
      <c r="G190" s="361"/>
      <c r="H190" s="255">
        <f>PRODUCT(D190:G190)</f>
        <v>200</v>
      </c>
      <c r="I190" s="360">
        <f>H190</f>
        <v>200</v>
      </c>
      <c r="J190" s="366"/>
      <c r="K190" s="372"/>
      <c r="L190" s="368"/>
    </row>
    <row r="191" spans="1:12" s="365" customFormat="1" ht="12.75" x14ac:dyDescent="0.25">
      <c r="A191" s="366"/>
      <c r="B191" s="269" t="s">
        <v>543</v>
      </c>
      <c r="C191" s="367" t="s">
        <v>674</v>
      </c>
      <c r="D191" s="360">
        <v>1</v>
      </c>
      <c r="E191" s="361">
        <f>6+1/12</f>
        <v>6.083333333333333</v>
      </c>
      <c r="F191" s="361">
        <f>8+11/12</f>
        <v>8.9166666666666661</v>
      </c>
      <c r="G191" s="361"/>
      <c r="H191" s="255">
        <f t="shared" si="12"/>
        <v>54.24305555555555</v>
      </c>
      <c r="I191" s="360">
        <f t="shared" si="13"/>
        <v>54.24305555555555</v>
      </c>
      <c r="J191" s="366"/>
      <c r="K191" s="372"/>
      <c r="L191" s="368"/>
    </row>
    <row r="192" spans="1:12" s="365" customFormat="1" ht="15" customHeight="1" x14ac:dyDescent="0.25">
      <c r="A192" s="366"/>
      <c r="B192" s="269" t="s">
        <v>543</v>
      </c>
      <c r="C192" s="367" t="s">
        <v>675</v>
      </c>
      <c r="D192" s="360">
        <v>1</v>
      </c>
      <c r="E192" s="556">
        <v>489</v>
      </c>
      <c r="F192" s="557"/>
      <c r="G192" s="361"/>
      <c r="H192" s="255">
        <f>PRODUCT(D192:G192)</f>
        <v>489</v>
      </c>
      <c r="I192" s="360">
        <f t="shared" si="13"/>
        <v>489</v>
      </c>
      <c r="J192" s="366"/>
      <c r="K192" s="372"/>
      <c r="L192" s="368"/>
    </row>
    <row r="193" spans="1:12" s="365" customFormat="1" ht="12.75" x14ac:dyDescent="0.25">
      <c r="A193" s="366"/>
      <c r="B193" s="269" t="s">
        <v>543</v>
      </c>
      <c r="C193" s="367" t="s">
        <v>676</v>
      </c>
      <c r="D193" s="360">
        <v>1</v>
      </c>
      <c r="E193" s="556">
        <v>193</v>
      </c>
      <c r="F193" s="557"/>
      <c r="G193" s="361"/>
      <c r="H193" s="255">
        <f t="shared" si="12"/>
        <v>193</v>
      </c>
      <c r="I193" s="360">
        <f t="shared" si="13"/>
        <v>193</v>
      </c>
      <c r="J193" s="366"/>
      <c r="K193" s="372"/>
      <c r="L193" s="368"/>
    </row>
    <row r="194" spans="1:12" s="365" customFormat="1" ht="12" x14ac:dyDescent="0.25">
      <c r="A194" s="366"/>
      <c r="B194" s="367"/>
      <c r="C194" s="359"/>
      <c r="D194" s="378"/>
      <c r="E194" s="361"/>
      <c r="G194" s="361"/>
      <c r="H194" s="378"/>
      <c r="I194" s="378"/>
      <c r="J194" s="378"/>
      <c r="K194" s="382"/>
      <c r="L194" s="368"/>
    </row>
    <row r="195" spans="1:12" s="365" customFormat="1" ht="12" x14ac:dyDescent="0.25">
      <c r="A195" s="362">
        <f>A183+1</f>
        <v>1</v>
      </c>
      <c r="B195" s="370" t="s">
        <v>547</v>
      </c>
      <c r="C195" s="362"/>
      <c r="D195" s="362"/>
      <c r="E195" s="363"/>
      <c r="F195" s="363"/>
      <c r="G195" s="363"/>
      <c r="H195" s="363"/>
      <c r="I195" s="363">
        <f>SUM(H196:H208)</f>
        <v>211.76000000000002</v>
      </c>
      <c r="J195" s="362" t="s">
        <v>483</v>
      </c>
      <c r="K195" s="364"/>
      <c r="L195" s="364"/>
    </row>
    <row r="196" spans="1:12" s="365" customFormat="1" ht="12.75" x14ac:dyDescent="0.25">
      <c r="A196" s="366"/>
      <c r="B196" s="269" t="s">
        <v>548</v>
      </c>
      <c r="C196" s="367" t="s">
        <v>666</v>
      </c>
      <c r="D196" s="360">
        <v>1</v>
      </c>
      <c r="E196" s="361">
        <f>27.13</f>
        <v>27.13</v>
      </c>
      <c r="F196" s="361"/>
      <c r="G196" s="361"/>
      <c r="H196" s="255">
        <f t="shared" ref="H196:H207" si="14">PRODUCT(D196:G196)</f>
        <v>27.13</v>
      </c>
      <c r="I196" s="360"/>
      <c r="J196" s="366"/>
      <c r="K196" s="372"/>
      <c r="L196" s="368"/>
    </row>
    <row r="197" spans="1:12" s="365" customFormat="1" ht="12.75" x14ac:dyDescent="0.25">
      <c r="A197" s="366"/>
      <c r="B197" s="269"/>
      <c r="C197" s="359" t="s">
        <v>679</v>
      </c>
      <c r="D197" s="360">
        <v>-1</v>
      </c>
      <c r="E197" s="371">
        <v>3.2</v>
      </c>
      <c r="F197" s="361"/>
      <c r="G197" s="361"/>
      <c r="H197" s="360">
        <f t="shared" si="14"/>
        <v>-3.2</v>
      </c>
      <c r="I197" s="360"/>
      <c r="J197" s="366"/>
      <c r="K197" s="372"/>
      <c r="L197" s="368"/>
    </row>
    <row r="198" spans="1:12" s="365" customFormat="1" ht="12.75" x14ac:dyDescent="0.25">
      <c r="A198" s="366"/>
      <c r="B198" s="269" t="s">
        <v>548</v>
      </c>
      <c r="C198" s="367" t="s">
        <v>667</v>
      </c>
      <c r="D198" s="360">
        <v>1</v>
      </c>
      <c r="E198" s="361">
        <v>21.92</v>
      </c>
      <c r="F198" s="361"/>
      <c r="G198" s="361"/>
      <c r="H198" s="255">
        <f t="shared" si="14"/>
        <v>21.92</v>
      </c>
      <c r="I198" s="360"/>
      <c r="J198" s="366"/>
      <c r="K198" s="372"/>
      <c r="L198" s="368"/>
    </row>
    <row r="199" spans="1:12" s="365" customFormat="1" ht="12.75" x14ac:dyDescent="0.25">
      <c r="A199" s="366"/>
      <c r="B199" s="269"/>
      <c r="C199" s="359" t="s">
        <v>679</v>
      </c>
      <c r="D199" s="360">
        <v>-1</v>
      </c>
      <c r="E199" s="371">
        <v>3.2</v>
      </c>
      <c r="F199" s="361"/>
      <c r="G199" s="361"/>
      <c r="H199" s="360">
        <f>PRODUCT(D199:G199)</f>
        <v>-3.2</v>
      </c>
      <c r="I199" s="360"/>
      <c r="J199" s="366"/>
      <c r="K199" s="372"/>
      <c r="L199" s="368"/>
    </row>
    <row r="200" spans="1:12" s="365" customFormat="1" ht="12.75" x14ac:dyDescent="0.25">
      <c r="A200" s="366"/>
      <c r="B200" s="269" t="s">
        <v>548</v>
      </c>
      <c r="C200" s="367" t="s">
        <v>667</v>
      </c>
      <c r="D200" s="360">
        <v>1</v>
      </c>
      <c r="E200" s="361">
        <v>41.93</v>
      </c>
      <c r="F200" s="361"/>
      <c r="G200" s="361"/>
      <c r="H200" s="255">
        <f t="shared" ref="H200" si="15">PRODUCT(D200:G200)</f>
        <v>41.93</v>
      </c>
      <c r="I200" s="360"/>
      <c r="J200" s="366"/>
      <c r="K200" s="372"/>
      <c r="L200" s="368"/>
    </row>
    <row r="201" spans="1:12" s="365" customFormat="1" ht="12.75" x14ac:dyDescent="0.25">
      <c r="A201" s="366"/>
      <c r="B201" s="269"/>
      <c r="C201" s="359" t="s">
        <v>679</v>
      </c>
      <c r="D201" s="360">
        <v>-1</v>
      </c>
      <c r="E201" s="371">
        <v>3.2</v>
      </c>
      <c r="F201" s="361"/>
      <c r="G201" s="361"/>
      <c r="H201" s="360">
        <f>PRODUCT(D201:G201)</f>
        <v>-3.2</v>
      </c>
      <c r="I201" s="360"/>
      <c r="J201" s="366"/>
      <c r="K201" s="372"/>
      <c r="L201" s="368"/>
    </row>
    <row r="202" spans="1:12" s="365" customFormat="1" ht="12.75" x14ac:dyDescent="0.25">
      <c r="A202" s="366"/>
      <c r="B202" s="269" t="s">
        <v>548</v>
      </c>
      <c r="C202" s="367" t="s">
        <v>673</v>
      </c>
      <c r="D202" s="360">
        <v>1</v>
      </c>
      <c r="E202" s="361">
        <v>21.92</v>
      </c>
      <c r="F202" s="361"/>
      <c r="G202" s="361"/>
      <c r="H202" s="255">
        <f t="shared" si="14"/>
        <v>21.92</v>
      </c>
      <c r="I202" s="360"/>
      <c r="J202" s="366"/>
      <c r="K202" s="372"/>
      <c r="L202" s="368"/>
    </row>
    <row r="203" spans="1:12" s="365" customFormat="1" ht="12.75" x14ac:dyDescent="0.25">
      <c r="A203" s="366"/>
      <c r="B203" s="269"/>
      <c r="C203" s="359" t="s">
        <v>679</v>
      </c>
      <c r="D203" s="360">
        <v>-1</v>
      </c>
      <c r="E203" s="371">
        <v>3.2</v>
      </c>
      <c r="F203" s="361"/>
      <c r="G203" s="361"/>
      <c r="H203" s="360">
        <f>PRODUCT(D203:G203)</f>
        <v>-3.2</v>
      </c>
      <c r="I203" s="360"/>
      <c r="J203" s="366"/>
      <c r="K203" s="372"/>
      <c r="L203" s="368"/>
    </row>
    <row r="204" spans="1:12" s="365" customFormat="1" ht="12.75" x14ac:dyDescent="0.25">
      <c r="A204" s="366"/>
      <c r="B204" s="269" t="s">
        <v>548</v>
      </c>
      <c r="C204" s="367" t="s">
        <v>674</v>
      </c>
      <c r="D204" s="360">
        <v>1</v>
      </c>
      <c r="E204" s="361">
        <v>40.93</v>
      </c>
      <c r="F204" s="361"/>
      <c r="G204" s="361"/>
      <c r="H204" s="255">
        <f t="shared" si="14"/>
        <v>40.93</v>
      </c>
      <c r="I204" s="360"/>
      <c r="J204" s="366"/>
      <c r="K204" s="372"/>
      <c r="L204" s="368"/>
    </row>
    <row r="205" spans="1:12" s="365" customFormat="1" ht="12.75" x14ac:dyDescent="0.25">
      <c r="A205" s="366"/>
      <c r="B205" s="269" t="s">
        <v>548</v>
      </c>
      <c r="C205" s="367" t="s">
        <v>674</v>
      </c>
      <c r="D205" s="360">
        <v>1</v>
      </c>
      <c r="E205" s="361">
        <v>17.3</v>
      </c>
      <c r="F205" s="361"/>
      <c r="G205" s="361"/>
      <c r="H205" s="255">
        <f t="shared" si="14"/>
        <v>17.3</v>
      </c>
      <c r="I205" s="360"/>
      <c r="J205" s="366"/>
      <c r="K205" s="372"/>
      <c r="L205" s="368"/>
    </row>
    <row r="206" spans="1:12" s="365" customFormat="1" ht="12.75" x14ac:dyDescent="0.25">
      <c r="A206" s="366"/>
      <c r="B206" s="269" t="s">
        <v>548</v>
      </c>
      <c r="C206" s="367" t="s">
        <v>677</v>
      </c>
      <c r="D206" s="360">
        <v>1</v>
      </c>
      <c r="E206" s="361">
        <v>59.93</v>
      </c>
      <c r="F206" s="361"/>
      <c r="G206" s="361"/>
      <c r="H206" s="255">
        <f t="shared" si="14"/>
        <v>59.93</v>
      </c>
      <c r="I206" s="360"/>
      <c r="J206" s="366"/>
      <c r="K206" s="372"/>
      <c r="L206" s="368"/>
    </row>
    <row r="207" spans="1:12" s="365" customFormat="1" ht="12" x14ac:dyDescent="0.25">
      <c r="A207" s="366"/>
      <c r="B207" s="367"/>
      <c r="C207" s="359" t="s">
        <v>679</v>
      </c>
      <c r="D207" s="360">
        <v>-1</v>
      </c>
      <c r="E207" s="371">
        <v>6.5</v>
      </c>
      <c r="F207" s="361"/>
      <c r="G207" s="361"/>
      <c r="H207" s="360">
        <f t="shared" si="14"/>
        <v>-6.5</v>
      </c>
      <c r="I207" s="360"/>
      <c r="J207" s="366"/>
      <c r="K207" s="372"/>
      <c r="L207" s="368"/>
    </row>
    <row r="208" spans="1:12" s="365" customFormat="1" ht="12" x14ac:dyDescent="0.25">
      <c r="A208" s="366"/>
      <c r="B208" s="367"/>
      <c r="C208" s="359"/>
      <c r="D208" s="378"/>
      <c r="E208" s="361"/>
      <c r="G208" s="361"/>
      <c r="H208" s="378"/>
      <c r="I208" s="378"/>
      <c r="J208" s="378"/>
      <c r="K208" s="382"/>
      <c r="L208" s="368"/>
    </row>
    <row r="209" spans="1:12" s="365" customFormat="1" ht="12" x14ac:dyDescent="0.25">
      <c r="A209" s="362">
        <f>A201+1</f>
        <v>1</v>
      </c>
      <c r="B209" s="364" t="s">
        <v>493</v>
      </c>
      <c r="C209" s="362"/>
      <c r="D209" s="362"/>
      <c r="E209" s="363"/>
      <c r="F209" s="363"/>
      <c r="G209" s="363"/>
      <c r="H209" s="363"/>
      <c r="I209" s="363">
        <f>SUM(H210:H213)</f>
        <v>515.10000000000014</v>
      </c>
      <c r="J209" s="362" t="s">
        <v>368</v>
      </c>
      <c r="K209" s="364"/>
      <c r="L209" s="364"/>
    </row>
    <row r="210" spans="1:12" s="365" customFormat="1" ht="12" x14ac:dyDescent="0.25">
      <c r="A210" s="366"/>
      <c r="B210" s="367"/>
      <c r="C210" s="359"/>
      <c r="D210" s="360"/>
      <c r="E210" s="361"/>
      <c r="F210" s="361"/>
      <c r="G210" s="361"/>
      <c r="H210" s="360"/>
      <c r="I210" s="360"/>
      <c r="J210" s="366"/>
      <c r="K210" s="372"/>
      <c r="L210" s="368"/>
    </row>
    <row r="211" spans="1:12" s="365" customFormat="1" ht="12.75" x14ac:dyDescent="0.25">
      <c r="A211" s="366"/>
      <c r="C211" s="367" t="s">
        <v>674</v>
      </c>
      <c r="D211" s="360">
        <v>1</v>
      </c>
      <c r="E211" s="361">
        <f>E204+E205</f>
        <v>58.230000000000004</v>
      </c>
      <c r="F211" s="361"/>
      <c r="G211" s="361">
        <f>10</f>
        <v>10</v>
      </c>
      <c r="H211" s="255">
        <f>PRODUCT(D211:G211)</f>
        <v>582.30000000000007</v>
      </c>
      <c r="I211" s="360"/>
      <c r="J211" s="366"/>
      <c r="K211" s="372"/>
      <c r="L211" s="368"/>
    </row>
    <row r="212" spans="1:12" s="365" customFormat="1" ht="12.75" x14ac:dyDescent="0.25">
      <c r="A212" s="366"/>
      <c r="B212" s="269"/>
      <c r="C212" s="359" t="s">
        <v>679</v>
      </c>
      <c r="D212" s="360">
        <v>-1</v>
      </c>
      <c r="E212" s="371">
        <v>3.2</v>
      </c>
      <c r="F212" s="361"/>
      <c r="G212" s="361">
        <v>7</v>
      </c>
      <c r="H212" s="360">
        <f>PRODUCT(D212:G212)</f>
        <v>-22.400000000000002</v>
      </c>
      <c r="I212" s="360"/>
      <c r="J212" s="366"/>
      <c r="K212" s="372"/>
      <c r="L212" s="368"/>
    </row>
    <row r="213" spans="1:12" s="365" customFormat="1" ht="12.75" x14ac:dyDescent="0.25">
      <c r="A213" s="366"/>
      <c r="B213" s="269"/>
      <c r="C213" s="359" t="s">
        <v>679</v>
      </c>
      <c r="D213" s="360">
        <v>-2</v>
      </c>
      <c r="E213" s="371">
        <v>3.2</v>
      </c>
      <c r="F213" s="361"/>
      <c r="G213" s="361">
        <v>7</v>
      </c>
      <c r="H213" s="360">
        <f>PRODUCT(D213:G213)</f>
        <v>-44.800000000000004</v>
      </c>
      <c r="I213" s="360"/>
      <c r="J213" s="366"/>
      <c r="K213" s="382"/>
      <c r="L213" s="368"/>
    </row>
    <row r="214" spans="1:12" s="365" customFormat="1" ht="12.75" x14ac:dyDescent="0.25">
      <c r="A214" s="366"/>
      <c r="B214" s="269"/>
      <c r="C214" s="359"/>
      <c r="D214" s="360"/>
      <c r="E214" s="371"/>
      <c r="F214" s="361"/>
      <c r="G214" s="361"/>
      <c r="H214" s="360"/>
      <c r="I214" s="360"/>
      <c r="J214" s="366"/>
      <c r="K214" s="382"/>
      <c r="L214" s="368"/>
    </row>
    <row r="215" spans="1:12" s="365" customFormat="1" ht="12" x14ac:dyDescent="0.25">
      <c r="A215" s="362">
        <f>A209+1</f>
        <v>2</v>
      </c>
      <c r="B215" s="370" t="s">
        <v>611</v>
      </c>
      <c r="C215" s="362"/>
      <c r="D215" s="362"/>
      <c r="E215" s="363"/>
      <c r="F215" s="363"/>
      <c r="G215" s="363"/>
      <c r="H215" s="363"/>
      <c r="I215" s="363">
        <f>SUM(H216:H222)</f>
        <v>837.2</v>
      </c>
      <c r="J215" s="362" t="s">
        <v>368</v>
      </c>
      <c r="K215" s="364"/>
      <c r="L215" s="364"/>
    </row>
    <row r="216" spans="1:12" s="365" customFormat="1" ht="12.75" x14ac:dyDescent="0.25">
      <c r="A216" s="366"/>
      <c r="B216" s="367"/>
      <c r="C216" s="367" t="s">
        <v>666</v>
      </c>
      <c r="D216" s="360"/>
      <c r="E216" s="361">
        <v>27.13</v>
      </c>
      <c r="F216" s="361"/>
      <c r="G216" s="361">
        <v>10</v>
      </c>
      <c r="H216" s="255">
        <f t="shared" ref="H216:H221" si="16">PRODUCT(D216:G216)</f>
        <v>271.3</v>
      </c>
      <c r="I216" s="360"/>
      <c r="J216" s="366"/>
      <c r="K216" s="372"/>
      <c r="L216" s="368"/>
    </row>
    <row r="217" spans="1:12" s="365" customFormat="1" ht="12.75" x14ac:dyDescent="0.25">
      <c r="A217" s="366"/>
      <c r="B217" s="269"/>
      <c r="C217" s="359" t="s">
        <v>679</v>
      </c>
      <c r="D217" s="360">
        <v>-1</v>
      </c>
      <c r="E217" s="371">
        <v>3.2</v>
      </c>
      <c r="F217" s="361"/>
      <c r="G217" s="361">
        <v>7</v>
      </c>
      <c r="H217" s="360">
        <f t="shared" si="16"/>
        <v>-22.400000000000002</v>
      </c>
      <c r="I217" s="360"/>
      <c r="J217" s="366"/>
      <c r="K217" s="372"/>
      <c r="L217" s="368"/>
    </row>
    <row r="218" spans="1:12" s="365" customFormat="1" ht="12.75" x14ac:dyDescent="0.25">
      <c r="A218" s="366"/>
      <c r="B218" s="367"/>
      <c r="C218" s="367" t="s">
        <v>667</v>
      </c>
      <c r="D218" s="360"/>
      <c r="E218" s="361">
        <v>41.39</v>
      </c>
      <c r="F218" s="361"/>
      <c r="G218" s="361">
        <v>10</v>
      </c>
      <c r="H218" s="255">
        <f t="shared" si="16"/>
        <v>413.9</v>
      </c>
      <c r="I218" s="360"/>
      <c r="J218" s="366"/>
      <c r="K218" s="372"/>
      <c r="L218" s="368"/>
    </row>
    <row r="219" spans="1:12" s="365" customFormat="1" ht="12.75" x14ac:dyDescent="0.25">
      <c r="A219" s="366"/>
      <c r="B219" s="269"/>
      <c r="C219" s="359" t="s">
        <v>679</v>
      </c>
      <c r="D219" s="360">
        <v>-1</v>
      </c>
      <c r="E219" s="371">
        <v>3.2</v>
      </c>
      <c r="F219" s="361"/>
      <c r="G219" s="361">
        <v>7</v>
      </c>
      <c r="H219" s="360">
        <f t="shared" si="16"/>
        <v>-22.400000000000002</v>
      </c>
      <c r="I219" s="360"/>
      <c r="J219" s="366"/>
      <c r="K219" s="372"/>
      <c r="L219" s="368"/>
    </row>
    <row r="220" spans="1:12" s="365" customFormat="1" ht="12.75" x14ac:dyDescent="0.25">
      <c r="A220" s="366"/>
      <c r="B220" s="367"/>
      <c r="C220" s="367" t="s">
        <v>673</v>
      </c>
      <c r="D220" s="360"/>
      <c r="E220" s="361">
        <v>21.92</v>
      </c>
      <c r="F220" s="361"/>
      <c r="G220" s="361">
        <v>10</v>
      </c>
      <c r="H220" s="255">
        <f t="shared" si="16"/>
        <v>219.20000000000002</v>
      </c>
      <c r="I220" s="360"/>
      <c r="J220" s="366"/>
      <c r="K220" s="372"/>
      <c r="L220" s="368"/>
    </row>
    <row r="221" spans="1:12" s="365" customFormat="1" ht="12.75" x14ac:dyDescent="0.25">
      <c r="A221" s="366"/>
      <c r="B221" s="269"/>
      <c r="C221" s="359" t="s">
        <v>679</v>
      </c>
      <c r="D221" s="360">
        <v>-1</v>
      </c>
      <c r="E221" s="371">
        <v>3.2</v>
      </c>
      <c r="F221" s="361"/>
      <c r="G221" s="361">
        <v>7</v>
      </c>
      <c r="H221" s="360">
        <f t="shared" si="16"/>
        <v>-22.400000000000002</v>
      </c>
      <c r="I221" s="360"/>
      <c r="J221" s="366"/>
      <c r="K221" s="372"/>
      <c r="L221" s="368"/>
    </row>
    <row r="222" spans="1:12" s="365" customFormat="1" ht="12.75" x14ac:dyDescent="0.25">
      <c r="A222" s="366"/>
      <c r="B222" s="269"/>
      <c r="C222" s="359"/>
      <c r="D222" s="360"/>
      <c r="E222" s="371"/>
      <c r="F222" s="361"/>
      <c r="G222" s="361"/>
      <c r="H222" s="360"/>
      <c r="I222" s="360"/>
      <c r="J222" s="366"/>
      <c r="K222" s="382"/>
      <c r="L222" s="368"/>
    </row>
    <row r="223" spans="1:12" s="365" customFormat="1" ht="12" x14ac:dyDescent="0.25">
      <c r="A223" s="362">
        <v>17</v>
      </c>
      <c r="B223" s="370" t="s">
        <v>611</v>
      </c>
      <c r="C223" s="362"/>
      <c r="D223" s="362"/>
      <c r="E223" s="363"/>
      <c r="F223" s="363"/>
      <c r="G223" s="363"/>
      <c r="H223" s="363"/>
      <c r="I223" s="363">
        <f>SUM(H224:H240)</f>
        <v>2236.9833333333336</v>
      </c>
      <c r="J223" s="362" t="s">
        <v>368</v>
      </c>
      <c r="K223" s="364"/>
      <c r="L223" s="364"/>
    </row>
    <row r="224" spans="1:12" s="365" customFormat="1" ht="12.75" x14ac:dyDescent="0.25">
      <c r="A224" s="366"/>
      <c r="B224" s="367" t="s">
        <v>680</v>
      </c>
      <c r="C224" s="367" t="s">
        <v>666</v>
      </c>
      <c r="D224" s="360">
        <v>1</v>
      </c>
      <c r="E224" s="361">
        <f>7+7/12</f>
        <v>7.583333333333333</v>
      </c>
      <c r="F224" s="361">
        <v>6.4</v>
      </c>
      <c r="G224" s="361"/>
      <c r="H224" s="255">
        <f t="shared" ref="H224:H230" si="17">PRODUCT(D224:G224)</f>
        <v>48.533333333333331</v>
      </c>
      <c r="I224" s="360"/>
      <c r="J224" s="366"/>
      <c r="K224" s="372"/>
      <c r="L224" s="368"/>
    </row>
    <row r="225" spans="1:13" s="365" customFormat="1" ht="12.75" x14ac:dyDescent="0.25">
      <c r="A225" s="366"/>
      <c r="B225" s="367"/>
      <c r="C225" s="367" t="s">
        <v>667</v>
      </c>
      <c r="D225" s="360">
        <v>1</v>
      </c>
      <c r="E225" s="361">
        <f>13+8/12</f>
        <v>13.666666666666666</v>
      </c>
      <c r="F225" s="361">
        <f>7+7/12</f>
        <v>7.583333333333333</v>
      </c>
      <c r="G225" s="361"/>
      <c r="H225" s="255">
        <f t="shared" si="17"/>
        <v>103.63888888888889</v>
      </c>
      <c r="I225" s="360"/>
      <c r="J225" s="366"/>
      <c r="K225" s="372"/>
      <c r="L225" s="368"/>
    </row>
    <row r="226" spans="1:13" s="365" customFormat="1" ht="12.75" x14ac:dyDescent="0.25">
      <c r="A226" s="366"/>
      <c r="B226" s="367"/>
      <c r="C226" s="367" t="s">
        <v>673</v>
      </c>
      <c r="D226" s="360">
        <v>1</v>
      </c>
      <c r="E226" s="361">
        <f>5+1/12</f>
        <v>5.083333333333333</v>
      </c>
      <c r="F226" s="361">
        <f>5+11/12</f>
        <v>5.916666666666667</v>
      </c>
      <c r="G226" s="361"/>
      <c r="H226" s="255">
        <f t="shared" si="17"/>
        <v>30.076388888888889</v>
      </c>
      <c r="I226" s="360"/>
      <c r="J226" s="366"/>
      <c r="K226" s="372"/>
      <c r="L226" s="368"/>
    </row>
    <row r="227" spans="1:13" s="365" customFormat="1" ht="12.75" x14ac:dyDescent="0.25">
      <c r="A227" s="366"/>
      <c r="B227" s="367"/>
      <c r="C227" s="367" t="s">
        <v>677</v>
      </c>
      <c r="D227" s="360">
        <v>1</v>
      </c>
      <c r="E227" s="361">
        <v>20</v>
      </c>
      <c r="F227" s="361">
        <v>10</v>
      </c>
      <c r="G227" s="361"/>
      <c r="H227" s="255">
        <f t="shared" si="17"/>
        <v>200</v>
      </c>
      <c r="I227" s="360"/>
      <c r="J227" s="366"/>
      <c r="K227" s="372"/>
      <c r="L227" s="368"/>
    </row>
    <row r="228" spans="1:13" s="365" customFormat="1" ht="12.75" x14ac:dyDescent="0.25">
      <c r="A228" s="366"/>
      <c r="B228" s="367"/>
      <c r="C228" s="367" t="s">
        <v>674</v>
      </c>
      <c r="D228" s="360">
        <v>1</v>
      </c>
      <c r="E228" s="361">
        <f>6+1/12</f>
        <v>6.083333333333333</v>
      </c>
      <c r="F228" s="361">
        <f>8+11/12</f>
        <v>8.9166666666666661</v>
      </c>
      <c r="G228" s="361"/>
      <c r="H228" s="255">
        <f t="shared" si="17"/>
        <v>54.24305555555555</v>
      </c>
      <c r="I228" s="360"/>
      <c r="J228" s="366"/>
      <c r="K228" s="372"/>
      <c r="L228" s="368"/>
    </row>
    <row r="229" spans="1:13" s="365" customFormat="1" ht="15" customHeight="1" x14ac:dyDescent="0.25">
      <c r="A229" s="366"/>
      <c r="B229" s="367"/>
      <c r="C229" s="367" t="s">
        <v>675</v>
      </c>
      <c r="D229" s="360">
        <v>1</v>
      </c>
      <c r="E229" s="556">
        <v>489</v>
      </c>
      <c r="F229" s="557"/>
      <c r="G229" s="361"/>
      <c r="H229" s="255">
        <f t="shared" si="17"/>
        <v>489</v>
      </c>
      <c r="I229" s="360"/>
      <c r="J229" s="366"/>
      <c r="K229" s="372"/>
      <c r="L229" s="368"/>
    </row>
    <row r="230" spans="1:13" s="365" customFormat="1" ht="12.75" x14ac:dyDescent="0.25">
      <c r="A230" s="366"/>
      <c r="B230" s="367"/>
      <c r="C230" s="367" t="s">
        <v>676</v>
      </c>
      <c r="D230" s="360">
        <v>1</v>
      </c>
      <c r="E230" s="556">
        <v>193</v>
      </c>
      <c r="F230" s="557"/>
      <c r="G230" s="361"/>
      <c r="H230" s="255">
        <f t="shared" si="17"/>
        <v>193</v>
      </c>
      <c r="I230" s="360"/>
      <c r="J230" s="366"/>
      <c r="K230" s="372"/>
      <c r="L230" s="368"/>
    </row>
    <row r="231" spans="1:13" s="365" customFormat="1" ht="12.75" x14ac:dyDescent="0.25">
      <c r="A231" s="366"/>
      <c r="B231" s="367"/>
      <c r="C231" s="367"/>
      <c r="D231" s="360"/>
      <c r="E231" s="361"/>
      <c r="F231" s="361"/>
      <c r="G231" s="361"/>
      <c r="H231" s="255"/>
      <c r="I231" s="360"/>
      <c r="J231" s="366"/>
      <c r="K231" s="382"/>
      <c r="L231" s="368"/>
    </row>
    <row r="232" spans="1:13" s="272" customFormat="1" ht="12.75" x14ac:dyDescent="0.25">
      <c r="A232" s="279">
        <f>A223+1</f>
        <v>18</v>
      </c>
      <c r="B232" s="280" t="s">
        <v>681</v>
      </c>
      <c r="C232" s="281"/>
      <c r="D232" s="279"/>
      <c r="E232" s="282"/>
      <c r="F232" s="282"/>
      <c r="G232" s="282"/>
      <c r="H232" s="282"/>
      <c r="I232" s="282">
        <f>SUM(H233:H240)</f>
        <v>1118.4916666666668</v>
      </c>
      <c r="J232" s="279" t="s">
        <v>368</v>
      </c>
      <c r="K232" s="386"/>
      <c r="L232" s="281"/>
      <c r="M232" s="306"/>
    </row>
    <row r="233" spans="1:13" s="271" customFormat="1" ht="12.75" x14ac:dyDescent="0.25">
      <c r="A233" s="266"/>
      <c r="B233" s="269"/>
      <c r="C233" s="367" t="s">
        <v>666</v>
      </c>
      <c r="D233" s="360">
        <v>1</v>
      </c>
      <c r="E233" s="361">
        <f>7+7/12</f>
        <v>7.583333333333333</v>
      </c>
      <c r="F233" s="361">
        <v>6.4</v>
      </c>
      <c r="G233" s="361"/>
      <c r="H233" s="255">
        <f t="shared" ref="H233:H239" si="18">PRODUCT(D233:G233)</f>
        <v>48.533333333333331</v>
      </c>
      <c r="I233" s="255"/>
      <c r="J233" s="267"/>
      <c r="K233" s="387"/>
      <c r="L233" s="269"/>
      <c r="M233" s="273"/>
    </row>
    <row r="234" spans="1:13" s="271" customFormat="1" ht="12.75" x14ac:dyDescent="0.25">
      <c r="A234" s="266"/>
      <c r="B234" s="269"/>
      <c r="C234" s="367" t="s">
        <v>667</v>
      </c>
      <c r="D234" s="360">
        <v>1</v>
      </c>
      <c r="E234" s="361">
        <f>13+8/12</f>
        <v>13.666666666666666</v>
      </c>
      <c r="F234" s="361">
        <f>7+7/12</f>
        <v>7.583333333333333</v>
      </c>
      <c r="G234" s="361"/>
      <c r="H234" s="255">
        <f t="shared" si="18"/>
        <v>103.63888888888889</v>
      </c>
      <c r="I234" s="255"/>
      <c r="J234" s="267"/>
      <c r="K234" s="387"/>
      <c r="L234" s="269"/>
      <c r="M234" s="273"/>
    </row>
    <row r="235" spans="1:13" s="271" customFormat="1" ht="12.75" x14ac:dyDescent="0.25">
      <c r="A235" s="266"/>
      <c r="B235" s="269"/>
      <c r="C235" s="367" t="s">
        <v>673</v>
      </c>
      <c r="D235" s="360">
        <v>1</v>
      </c>
      <c r="E235" s="361">
        <f>5+1/12</f>
        <v>5.083333333333333</v>
      </c>
      <c r="F235" s="361">
        <f>5+11/12</f>
        <v>5.916666666666667</v>
      </c>
      <c r="G235" s="361"/>
      <c r="H235" s="255">
        <f t="shared" si="18"/>
        <v>30.076388888888889</v>
      </c>
      <c r="I235" s="255"/>
      <c r="J235" s="267"/>
      <c r="K235" s="387"/>
      <c r="L235" s="269"/>
      <c r="M235" s="273"/>
    </row>
    <row r="236" spans="1:13" s="271" customFormat="1" ht="12.75" x14ac:dyDescent="0.25">
      <c r="A236" s="266"/>
      <c r="B236" s="269"/>
      <c r="C236" s="367" t="s">
        <v>677</v>
      </c>
      <c r="D236" s="360">
        <v>1</v>
      </c>
      <c r="E236" s="361">
        <v>20</v>
      </c>
      <c r="F236" s="361">
        <v>10</v>
      </c>
      <c r="G236" s="361"/>
      <c r="H236" s="255">
        <f t="shared" si="18"/>
        <v>200</v>
      </c>
      <c r="I236" s="255"/>
      <c r="J236" s="267"/>
      <c r="K236" s="387"/>
      <c r="L236" s="269"/>
      <c r="M236" s="273"/>
    </row>
    <row r="237" spans="1:13" s="271" customFormat="1" ht="12.75" x14ac:dyDescent="0.25">
      <c r="A237" s="266"/>
      <c r="B237" s="269"/>
      <c r="C237" s="367" t="s">
        <v>674</v>
      </c>
      <c r="D237" s="360">
        <v>1</v>
      </c>
      <c r="E237" s="361">
        <f>6+1/12</f>
        <v>6.083333333333333</v>
      </c>
      <c r="F237" s="361">
        <f>8+11/12</f>
        <v>8.9166666666666661</v>
      </c>
      <c r="G237" s="361"/>
      <c r="H237" s="255">
        <f t="shared" si="18"/>
        <v>54.24305555555555</v>
      </c>
      <c r="I237" s="255"/>
      <c r="J237" s="267"/>
      <c r="K237" s="387"/>
      <c r="L237" s="269"/>
      <c r="M237" s="273"/>
    </row>
    <row r="238" spans="1:13" s="271" customFormat="1" ht="12.75" x14ac:dyDescent="0.25">
      <c r="A238" s="266"/>
      <c r="B238" s="269"/>
      <c r="C238" s="367" t="s">
        <v>675</v>
      </c>
      <c r="D238" s="360">
        <v>1</v>
      </c>
      <c r="E238" s="556">
        <v>489</v>
      </c>
      <c r="F238" s="557"/>
      <c r="G238" s="361"/>
      <c r="H238" s="255">
        <f t="shared" si="18"/>
        <v>489</v>
      </c>
      <c r="I238" s="255"/>
      <c r="J238" s="267"/>
      <c r="K238" s="387"/>
      <c r="L238" s="269"/>
      <c r="M238" s="273"/>
    </row>
    <row r="239" spans="1:13" s="271" customFormat="1" ht="12.75" x14ac:dyDescent="0.25">
      <c r="A239" s="266"/>
      <c r="B239" s="269"/>
      <c r="C239" s="367" t="s">
        <v>676</v>
      </c>
      <c r="D239" s="360">
        <v>1</v>
      </c>
      <c r="E239" s="556">
        <v>193</v>
      </c>
      <c r="F239" s="557"/>
      <c r="G239" s="361"/>
      <c r="H239" s="255">
        <f t="shared" si="18"/>
        <v>193</v>
      </c>
      <c r="I239" s="255"/>
      <c r="J239" s="267"/>
      <c r="K239" s="387"/>
      <c r="L239" s="269"/>
      <c r="M239" s="273"/>
    </row>
    <row r="240" spans="1:13" s="365" customFormat="1" ht="12.75" x14ac:dyDescent="0.25">
      <c r="A240" s="366"/>
      <c r="B240" s="367"/>
      <c r="C240" s="367"/>
      <c r="D240" s="360"/>
      <c r="E240" s="361"/>
      <c r="F240" s="361"/>
      <c r="G240" s="361"/>
      <c r="H240" s="255"/>
      <c r="I240" s="360"/>
      <c r="J240" s="366"/>
      <c r="K240" s="382"/>
      <c r="L240" s="368"/>
    </row>
  </sheetData>
  <mergeCells count="15">
    <mergeCell ref="F94:G94"/>
    <mergeCell ref="E21:F21"/>
    <mergeCell ref="E22:F22"/>
    <mergeCell ref="E23:F23"/>
    <mergeCell ref="E24:F24"/>
    <mergeCell ref="E25:F25"/>
    <mergeCell ref="E35:F35"/>
    <mergeCell ref="E229:F229"/>
    <mergeCell ref="E230:F230"/>
    <mergeCell ref="E238:F238"/>
    <mergeCell ref="E239:F239"/>
    <mergeCell ref="E129:F129"/>
    <mergeCell ref="E130:F130"/>
    <mergeCell ref="E192:F192"/>
    <mergeCell ref="E193:F19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557F3-EF3B-4CE1-BECF-EC6663E38D0F}">
  <dimension ref="A1:P143"/>
  <sheetViews>
    <sheetView topLeftCell="A13" zoomScale="55" zoomScaleNormal="55" workbookViewId="0">
      <selection activeCell="D19" sqref="D19"/>
    </sheetView>
  </sheetViews>
  <sheetFormatPr defaultColWidth="9.140625" defaultRowHeight="15" outlineLevelRow="1" x14ac:dyDescent="0.25"/>
  <cols>
    <col min="1" max="1" width="9.140625" style="85"/>
    <col min="2" max="2" width="83" style="5" customWidth="1"/>
    <col min="3" max="3" width="10.7109375" style="85" customWidth="1"/>
    <col min="4" max="7" width="15.7109375" style="75" customWidth="1"/>
    <col min="8" max="8" width="20.42578125" style="75" bestFit="1" customWidth="1"/>
    <col min="9" max="9" width="15.7109375" style="75" customWidth="1"/>
    <col min="10" max="10" width="17.85546875" style="75" bestFit="1" customWidth="1"/>
    <col min="11" max="11" width="20.7109375" style="86" bestFit="1" customWidth="1"/>
    <col min="12" max="12" width="8.85546875" style="75" bestFit="1" customWidth="1"/>
    <col min="13" max="13" width="14.28515625" style="82" bestFit="1" customWidth="1"/>
    <col min="14" max="14" width="15.7109375" style="75" hidden="1" customWidth="1"/>
    <col min="15" max="15" width="28" style="5" hidden="1" customWidth="1"/>
    <col min="16" max="16" width="14.28515625" style="5" hidden="1" customWidth="1"/>
    <col min="17" max="17" width="0" style="5" hidden="1" customWidth="1"/>
    <col min="18" max="16384" width="9.140625" style="5"/>
  </cols>
  <sheetData>
    <row r="1" spans="1:14" ht="29.1" customHeight="1" x14ac:dyDescent="0.25">
      <c r="A1" s="1" t="s">
        <v>0</v>
      </c>
      <c r="B1" s="1" t="s">
        <v>1</v>
      </c>
      <c r="C1" s="1" t="s">
        <v>2</v>
      </c>
      <c r="D1" s="2" t="s">
        <v>3</v>
      </c>
      <c r="E1" s="2" t="s">
        <v>569</v>
      </c>
      <c r="F1" s="346"/>
      <c r="G1" s="539" t="s">
        <v>561</v>
      </c>
      <c r="H1" s="540"/>
      <c r="I1" s="539" t="s">
        <v>562</v>
      </c>
      <c r="J1" s="540"/>
      <c r="K1" s="3" t="s">
        <v>5</v>
      </c>
      <c r="L1" s="2" t="s">
        <v>6</v>
      </c>
      <c r="M1" s="2" t="s">
        <v>7</v>
      </c>
      <c r="N1" s="4" t="s">
        <v>8</v>
      </c>
    </row>
    <row r="2" spans="1:14" s="11" customFormat="1" ht="15" customHeight="1" x14ac:dyDescent="0.25">
      <c r="A2" s="6">
        <v>1</v>
      </c>
      <c r="B2" s="7" t="s">
        <v>11</v>
      </c>
      <c r="C2" s="24"/>
      <c r="D2" s="25"/>
      <c r="E2" s="25"/>
      <c r="F2" s="25"/>
      <c r="G2" s="338" t="s">
        <v>563</v>
      </c>
      <c r="H2" s="338" t="s">
        <v>564</v>
      </c>
      <c r="I2" s="338" t="s">
        <v>563</v>
      </c>
      <c r="J2" s="338" t="s">
        <v>564</v>
      </c>
      <c r="K2" s="339"/>
      <c r="L2" s="9"/>
      <c r="M2" s="27"/>
    </row>
    <row r="3" spans="1:14" s="11" customFormat="1" ht="63.75" customHeight="1" outlineLevel="1" x14ac:dyDescent="0.25">
      <c r="A3" s="12"/>
      <c r="B3" s="28" t="s">
        <v>12</v>
      </c>
      <c r="C3" s="12"/>
      <c r="D3" s="13"/>
      <c r="E3" s="13"/>
      <c r="F3" s="13"/>
      <c r="G3" s="13"/>
      <c r="H3" s="13"/>
      <c r="I3" s="13"/>
      <c r="J3" s="13"/>
      <c r="K3" s="14"/>
      <c r="L3" s="13"/>
      <c r="M3" s="15"/>
    </row>
    <row r="4" spans="1:14" s="11" customFormat="1" ht="15" customHeight="1" outlineLevel="1" x14ac:dyDescent="0.25">
      <c r="A4" s="29"/>
      <c r="B4" s="30" t="s">
        <v>13</v>
      </c>
      <c r="C4" s="29"/>
      <c r="D4" s="31"/>
      <c r="E4" s="31"/>
      <c r="F4" s="31"/>
      <c r="G4" s="31"/>
      <c r="H4" s="31"/>
      <c r="I4" s="31"/>
      <c r="J4" s="31"/>
      <c r="K4" s="32"/>
      <c r="L4" s="31"/>
      <c r="M4" s="33"/>
    </row>
    <row r="5" spans="1:14" s="11" customFormat="1" ht="15" customHeight="1" outlineLevel="1" x14ac:dyDescent="0.25">
      <c r="A5" s="29"/>
      <c r="B5" s="34" t="s">
        <v>498</v>
      </c>
      <c r="C5" s="29" t="s">
        <v>9</v>
      </c>
      <c r="D5" s="31">
        <f>'Take off_Restroom &amp; ELec room'!I2</f>
        <v>152.4487037037037</v>
      </c>
      <c r="E5" s="31">
        <v>0.15</v>
      </c>
      <c r="F5" s="31">
        <f>(D5*E5)+D5</f>
        <v>175.31600925925926</v>
      </c>
      <c r="G5" s="465">
        <v>0</v>
      </c>
      <c r="H5" s="466">
        <f>G5*F5</f>
        <v>0</v>
      </c>
      <c r="I5" s="466">
        <v>30</v>
      </c>
      <c r="J5" s="467">
        <f>I5*F5</f>
        <v>5259.4802777777777</v>
      </c>
      <c r="K5" s="467">
        <f>H5+J5</f>
        <v>5259.4802777777777</v>
      </c>
      <c r="L5" s="468"/>
      <c r="M5" s="469"/>
    </row>
    <row r="6" spans="1:14" s="11" customFormat="1" ht="15" customHeight="1" outlineLevel="1" x14ac:dyDescent="0.25">
      <c r="A6" s="29"/>
      <c r="B6" s="34" t="s">
        <v>500</v>
      </c>
      <c r="C6" s="29" t="s">
        <v>9</v>
      </c>
      <c r="D6" s="31">
        <f>'Take off_Restroom &amp; ELec room'!I20</f>
        <v>218.77</v>
      </c>
      <c r="E6" s="31">
        <v>0.2</v>
      </c>
      <c r="F6" s="31">
        <f>(D6*E6)+D6</f>
        <v>262.524</v>
      </c>
      <c r="G6" s="465">
        <v>24</v>
      </c>
      <c r="H6" s="466">
        <f>G6*F6</f>
        <v>6300.576</v>
      </c>
      <c r="I6" s="466">
        <v>10</v>
      </c>
      <c r="J6" s="467">
        <f>I6*F6</f>
        <v>2625.24</v>
      </c>
      <c r="K6" s="467">
        <f>H6+J6</f>
        <v>8925.8159999999989</v>
      </c>
      <c r="L6" s="468"/>
      <c r="M6" s="469"/>
    </row>
    <row r="7" spans="1:14" s="11" customFormat="1" ht="15" customHeight="1" x14ac:dyDescent="0.25">
      <c r="A7" s="20"/>
      <c r="B7" s="38"/>
      <c r="C7" s="20"/>
      <c r="D7" s="21"/>
      <c r="E7" s="21"/>
      <c r="F7" s="21"/>
      <c r="G7" s="465"/>
      <c r="H7" s="466"/>
      <c r="I7" s="466"/>
      <c r="J7" s="467"/>
      <c r="K7" s="467"/>
      <c r="L7" s="470"/>
      <c r="M7" s="471"/>
    </row>
    <row r="8" spans="1:14" s="11" customFormat="1" ht="15" customHeight="1" x14ac:dyDescent="0.25">
      <c r="A8" s="474">
        <v>2</v>
      </c>
      <c r="B8" s="475" t="s">
        <v>203</v>
      </c>
      <c r="C8" s="474"/>
      <c r="D8" s="476"/>
      <c r="E8" s="477"/>
      <c r="F8" s="477"/>
      <c r="G8" s="478"/>
      <c r="H8" s="479"/>
      <c r="I8" s="479"/>
      <c r="J8" s="480"/>
      <c r="K8" s="480"/>
      <c r="L8" s="476"/>
      <c r="M8" s="477"/>
      <c r="N8" s="8"/>
    </row>
    <row r="9" spans="1:14" s="11" customFormat="1" ht="15" customHeight="1" outlineLevel="1" x14ac:dyDescent="0.25">
      <c r="A9" s="29"/>
      <c r="B9" s="34" t="s">
        <v>565</v>
      </c>
      <c r="C9" s="29" t="s">
        <v>368</v>
      </c>
      <c r="D9" s="31">
        <f>'Take off_Restroom &amp; ELec room'!I41</f>
        <v>507.45</v>
      </c>
      <c r="E9" s="31">
        <v>0.15</v>
      </c>
      <c r="F9" s="31">
        <f>((D9*E9)+D9)/(100*20)</f>
        <v>0.29178375000000001</v>
      </c>
      <c r="G9" s="465">
        <f>118.62</f>
        <v>118.62</v>
      </c>
      <c r="H9" s="466">
        <f>G9*F9</f>
        <v>34.611388425000001</v>
      </c>
      <c r="I9" s="466">
        <v>1</v>
      </c>
      <c r="J9" s="467">
        <f>I9*F9</f>
        <v>0.29178375000000001</v>
      </c>
      <c r="K9" s="467">
        <f t="shared" ref="K9" si="0">J9+H9</f>
        <v>34.903172175000002</v>
      </c>
      <c r="L9" s="468"/>
      <c r="M9" s="469"/>
    </row>
    <row r="10" spans="1:14" s="11" customFormat="1" ht="15" customHeight="1" outlineLevel="1" x14ac:dyDescent="0.25">
      <c r="A10" s="29"/>
      <c r="B10" s="34" t="s">
        <v>501</v>
      </c>
      <c r="C10" s="29" t="s">
        <v>368</v>
      </c>
      <c r="D10" s="31">
        <f>'Take off_Restroom &amp; ELec room'!I34</f>
        <v>1061.2750000000001</v>
      </c>
      <c r="E10" s="31">
        <v>0.15</v>
      </c>
      <c r="F10" s="31">
        <f t="shared" ref="F10:F15" si="1">(D10*E10)+D10</f>
        <v>1220.4662500000002</v>
      </c>
      <c r="G10" s="465"/>
      <c r="H10" s="466"/>
      <c r="I10" s="466"/>
      <c r="J10" s="467"/>
      <c r="K10" s="467"/>
      <c r="L10" s="468"/>
      <c r="M10" s="469"/>
    </row>
    <row r="11" spans="1:14" s="11" customFormat="1" ht="15" customHeight="1" outlineLevel="1" x14ac:dyDescent="0.25">
      <c r="A11" s="29"/>
      <c r="B11" s="343" t="s">
        <v>567</v>
      </c>
      <c r="C11" s="29" t="s">
        <v>483</v>
      </c>
      <c r="D11" s="31">
        <f>'Take off_Restroom &amp; ELec room'!I47</f>
        <v>274.58333333333337</v>
      </c>
      <c r="E11" s="31">
        <v>0.05</v>
      </c>
      <c r="F11" s="31">
        <f t="shared" si="1"/>
        <v>288.31250000000006</v>
      </c>
      <c r="G11" s="465"/>
      <c r="H11" s="466"/>
      <c r="I11" s="466"/>
      <c r="J11" s="467"/>
      <c r="K11" s="467">
        <f t="shared" ref="K11:K14" si="2">H11+J11</f>
        <v>0</v>
      </c>
      <c r="L11" s="468"/>
      <c r="M11" s="469"/>
    </row>
    <row r="12" spans="1:14" s="11" customFormat="1" ht="15" customHeight="1" outlineLevel="1" x14ac:dyDescent="0.25">
      <c r="A12" s="29"/>
      <c r="B12" s="34" t="s">
        <v>508</v>
      </c>
      <c r="C12" s="29" t="s">
        <v>9</v>
      </c>
      <c r="D12" s="31">
        <f>'Take off_Restroom &amp; ELec room'!I65</f>
        <v>30.133525377229084</v>
      </c>
      <c r="E12" s="31">
        <f>4%</f>
        <v>0.04</v>
      </c>
      <c r="F12" s="31">
        <f t="shared" si="1"/>
        <v>31.338866392318248</v>
      </c>
      <c r="G12" s="465">
        <v>471</v>
      </c>
      <c r="H12" s="466">
        <f>G12*F12</f>
        <v>14760.606070781894</v>
      </c>
      <c r="I12" s="466">
        <v>154</v>
      </c>
      <c r="J12" s="467">
        <f>I12*F12</f>
        <v>4826.1854244170099</v>
      </c>
      <c r="K12" s="467">
        <f t="shared" si="2"/>
        <v>19586.791495198904</v>
      </c>
      <c r="L12" s="468"/>
      <c r="M12" s="469"/>
    </row>
    <row r="13" spans="1:14" s="11" customFormat="1" ht="15" customHeight="1" outlineLevel="1" x14ac:dyDescent="0.25">
      <c r="A13" s="29"/>
      <c r="B13" s="34" t="s">
        <v>509</v>
      </c>
      <c r="C13" s="29" t="s">
        <v>9</v>
      </c>
      <c r="D13" s="31"/>
      <c r="E13" s="31">
        <v>0.02</v>
      </c>
      <c r="F13" s="31">
        <f t="shared" si="1"/>
        <v>0</v>
      </c>
      <c r="G13" s="465">
        <v>220</v>
      </c>
      <c r="H13" s="466">
        <f>G13*F13</f>
        <v>0</v>
      </c>
      <c r="I13" s="466">
        <v>150</v>
      </c>
      <c r="J13" s="467">
        <f>I13*F13</f>
        <v>0</v>
      </c>
      <c r="K13" s="467">
        <f t="shared" si="2"/>
        <v>0</v>
      </c>
      <c r="L13" s="468"/>
      <c r="M13" s="469"/>
    </row>
    <row r="14" spans="1:14" s="11" customFormat="1" ht="15" customHeight="1" outlineLevel="1" x14ac:dyDescent="0.25">
      <c r="A14" s="29"/>
      <c r="B14" s="34" t="s">
        <v>510</v>
      </c>
      <c r="C14" s="29" t="s">
        <v>368</v>
      </c>
      <c r="D14" s="31"/>
      <c r="E14" s="31">
        <v>0.01</v>
      </c>
      <c r="F14" s="31">
        <f t="shared" si="1"/>
        <v>0</v>
      </c>
      <c r="G14" s="465"/>
      <c r="H14" s="466"/>
      <c r="I14" s="466"/>
      <c r="J14" s="467"/>
      <c r="K14" s="467">
        <f t="shared" si="2"/>
        <v>0</v>
      </c>
      <c r="L14" s="468"/>
      <c r="M14" s="469"/>
    </row>
    <row r="15" spans="1:14" s="11" customFormat="1" ht="15" customHeight="1" outlineLevel="1" x14ac:dyDescent="0.25">
      <c r="A15" s="29"/>
      <c r="B15" s="34" t="s">
        <v>568</v>
      </c>
      <c r="C15" s="29" t="s">
        <v>368</v>
      </c>
      <c r="D15" s="31"/>
      <c r="E15" s="31">
        <v>0.02</v>
      </c>
      <c r="F15" s="31">
        <f t="shared" si="1"/>
        <v>0</v>
      </c>
      <c r="G15" s="465"/>
      <c r="H15" s="466"/>
      <c r="I15" s="466"/>
      <c r="J15" s="467"/>
      <c r="K15" s="467"/>
      <c r="L15" s="468"/>
      <c r="M15" s="469"/>
    </row>
    <row r="16" spans="1:14" s="11" customFormat="1" ht="15" customHeight="1" outlineLevel="1" x14ac:dyDescent="0.25">
      <c r="A16" s="29"/>
      <c r="B16" s="34"/>
      <c r="C16" s="29"/>
      <c r="D16" s="31"/>
      <c r="E16" s="31"/>
      <c r="F16" s="31"/>
      <c r="G16" s="465"/>
      <c r="H16" s="466"/>
      <c r="I16" s="466"/>
      <c r="J16" s="467"/>
      <c r="K16" s="467"/>
      <c r="L16" s="468"/>
      <c r="M16" s="469"/>
    </row>
    <row r="17" spans="1:14" s="11" customFormat="1" ht="15" customHeight="1" x14ac:dyDescent="0.25">
      <c r="A17" s="474">
        <v>3</v>
      </c>
      <c r="B17" s="475" t="s">
        <v>511</v>
      </c>
      <c r="C17" s="474"/>
      <c r="D17" s="476"/>
      <c r="E17" s="477"/>
      <c r="F17" s="477"/>
      <c r="G17" s="478"/>
      <c r="H17" s="479"/>
      <c r="I17" s="479"/>
      <c r="J17" s="480"/>
      <c r="K17" s="480"/>
      <c r="L17" s="476"/>
      <c r="M17" s="477"/>
      <c r="N17" s="8"/>
    </row>
    <row r="18" spans="1:14" s="11" customFormat="1" ht="15" customHeight="1" outlineLevel="1" x14ac:dyDescent="0.25">
      <c r="A18" s="29"/>
      <c r="B18" s="332" t="s">
        <v>512</v>
      </c>
      <c r="C18" s="29"/>
      <c r="D18" s="31"/>
      <c r="E18" s="31"/>
      <c r="F18" s="31"/>
      <c r="G18" s="465"/>
      <c r="H18" s="466"/>
      <c r="I18" s="466"/>
      <c r="J18" s="467"/>
      <c r="K18" s="467"/>
      <c r="L18" s="468"/>
      <c r="M18" s="469"/>
    </row>
    <row r="19" spans="1:14" s="11" customFormat="1" ht="15" customHeight="1" outlineLevel="1" x14ac:dyDescent="0.25">
      <c r="A19" s="29"/>
      <c r="B19" s="34" t="s">
        <v>404</v>
      </c>
      <c r="C19" s="29" t="s">
        <v>513</v>
      </c>
      <c r="D19" s="31">
        <f>'Steel Take off Restroom Elec ro'!AG88</f>
        <v>2342.8095666666668</v>
      </c>
      <c r="E19" s="31">
        <v>0.03</v>
      </c>
      <c r="F19" s="31">
        <f t="shared" ref="F19:F25" si="3">(D19*E19)+D19</f>
        <v>2413.0938536666667</v>
      </c>
      <c r="G19" s="465">
        <v>0.8</v>
      </c>
      <c r="H19" s="466">
        <f t="shared" ref="H19:H48" si="4">G19*F19</f>
        <v>1930.4750829333334</v>
      </c>
      <c r="I19" s="466">
        <v>0.7</v>
      </c>
      <c r="J19" s="467">
        <f t="shared" ref="J19:J21" si="5">I19*F19</f>
        <v>1689.1656975666667</v>
      </c>
      <c r="K19" s="467">
        <f t="shared" ref="K19:K21" si="6">H19+J19</f>
        <v>3619.6407804999999</v>
      </c>
      <c r="L19" s="468"/>
      <c r="M19" s="469"/>
    </row>
    <row r="20" spans="1:14" s="11" customFormat="1" ht="15" customHeight="1" outlineLevel="1" x14ac:dyDescent="0.25">
      <c r="A20" s="29"/>
      <c r="B20" s="34" t="s">
        <v>514</v>
      </c>
      <c r="C20" s="29" t="s">
        <v>513</v>
      </c>
      <c r="D20" s="31"/>
      <c r="E20" s="31">
        <v>0.03</v>
      </c>
      <c r="F20" s="31">
        <f t="shared" si="3"/>
        <v>0</v>
      </c>
      <c r="G20" s="465">
        <v>0.8</v>
      </c>
      <c r="H20" s="466">
        <f t="shared" si="4"/>
        <v>0</v>
      </c>
      <c r="I20" s="466">
        <v>0.7</v>
      </c>
      <c r="J20" s="467">
        <f t="shared" si="5"/>
        <v>0</v>
      </c>
      <c r="K20" s="467">
        <f t="shared" si="6"/>
        <v>0</v>
      </c>
      <c r="L20" s="468"/>
      <c r="M20" s="469"/>
    </row>
    <row r="21" spans="1:14" s="11" customFormat="1" ht="15" customHeight="1" outlineLevel="1" x14ac:dyDescent="0.25">
      <c r="A21" s="29"/>
      <c r="B21" s="34" t="s">
        <v>515</v>
      </c>
      <c r="C21" s="29" t="s">
        <v>513</v>
      </c>
      <c r="D21" s="31"/>
      <c r="E21" s="31">
        <v>0.03</v>
      </c>
      <c r="F21" s="31">
        <f t="shared" si="3"/>
        <v>0</v>
      </c>
      <c r="G21" s="465">
        <v>0.8</v>
      </c>
      <c r="H21" s="466">
        <f t="shared" si="4"/>
        <v>0</v>
      </c>
      <c r="I21" s="466">
        <v>0.7</v>
      </c>
      <c r="J21" s="467">
        <f t="shared" si="5"/>
        <v>0</v>
      </c>
      <c r="K21" s="467">
        <f t="shared" si="6"/>
        <v>0</v>
      </c>
      <c r="L21" s="468"/>
      <c r="M21" s="469"/>
    </row>
    <row r="22" spans="1:14" s="11" customFormat="1" ht="15" customHeight="1" outlineLevel="1" x14ac:dyDescent="0.25">
      <c r="A22" s="29"/>
      <c r="B22" s="332" t="s">
        <v>516</v>
      </c>
      <c r="C22" s="29"/>
      <c r="D22" s="31"/>
      <c r="E22" s="31"/>
      <c r="F22" s="31"/>
      <c r="G22" s="465"/>
      <c r="H22" s="466"/>
      <c r="I22" s="466"/>
      <c r="J22" s="467"/>
      <c r="K22" s="467"/>
      <c r="L22" s="468"/>
      <c r="M22" s="469"/>
    </row>
    <row r="23" spans="1:14" s="11" customFormat="1" ht="15" customHeight="1" outlineLevel="1" x14ac:dyDescent="0.25">
      <c r="A23" s="29"/>
      <c r="B23" s="34" t="s">
        <v>518</v>
      </c>
      <c r="C23" s="29" t="s">
        <v>323</v>
      </c>
      <c r="D23" s="31">
        <f>'Take off_Restroom &amp; ELec room'!I128</f>
        <v>27.902962962962963</v>
      </c>
      <c r="E23" s="31">
        <v>0.03</v>
      </c>
      <c r="F23" s="31">
        <f t="shared" si="3"/>
        <v>28.740051851851852</v>
      </c>
      <c r="G23" s="465">
        <v>220</v>
      </c>
      <c r="H23" s="466">
        <f t="shared" si="4"/>
        <v>6322.8114074074074</v>
      </c>
      <c r="I23" s="466">
        <v>160</v>
      </c>
      <c r="J23" s="467">
        <f t="shared" ref="J23:J25" si="7">I23*F23</f>
        <v>4598.4082962962966</v>
      </c>
      <c r="K23" s="467">
        <f t="shared" ref="K23:K25" si="8">H23+J23</f>
        <v>10921.219703703704</v>
      </c>
      <c r="L23" s="468"/>
      <c r="M23" s="469"/>
    </row>
    <row r="24" spans="1:14" s="11" customFormat="1" ht="15" customHeight="1" outlineLevel="1" x14ac:dyDescent="0.25">
      <c r="A24" s="29"/>
      <c r="B24" s="34" t="s">
        <v>571</v>
      </c>
      <c r="C24" s="34" t="s">
        <v>368</v>
      </c>
      <c r="D24" s="31">
        <f>'Take off_Restroom &amp; ELec room'!I232</f>
        <v>1118.4916666666668</v>
      </c>
      <c r="E24" s="31">
        <v>0.03</v>
      </c>
      <c r="F24" s="31">
        <f t="shared" si="3"/>
        <v>1152.0464166666668</v>
      </c>
      <c r="G24" s="465">
        <v>5</v>
      </c>
      <c r="H24" s="466">
        <f t="shared" si="4"/>
        <v>5760.2320833333342</v>
      </c>
      <c r="I24" s="466">
        <v>2</v>
      </c>
      <c r="J24" s="467">
        <f t="shared" si="7"/>
        <v>2304.0928333333336</v>
      </c>
      <c r="K24" s="467">
        <f t="shared" si="8"/>
        <v>8064.3249166666683</v>
      </c>
      <c r="L24" s="468"/>
      <c r="M24" s="469"/>
    </row>
    <row r="25" spans="1:14" s="11" customFormat="1" ht="15" customHeight="1" outlineLevel="1" x14ac:dyDescent="0.25">
      <c r="A25" s="29"/>
      <c r="B25" s="269" t="s">
        <v>656</v>
      </c>
      <c r="C25" s="29" t="s">
        <v>368</v>
      </c>
      <c r="D25" s="31">
        <f>'Take off_Restroom &amp; ELec room'!I113</f>
        <v>29.872849794238682</v>
      </c>
      <c r="E25" s="31">
        <v>0.02</v>
      </c>
      <c r="F25" s="31">
        <f t="shared" si="3"/>
        <v>30.470306790123455</v>
      </c>
      <c r="G25" s="465">
        <v>782</v>
      </c>
      <c r="H25" s="466">
        <f t="shared" ref="H25" si="9">G25*F25</f>
        <v>23827.779909876543</v>
      </c>
      <c r="I25" s="466">
        <v>154</v>
      </c>
      <c r="J25" s="467">
        <f t="shared" si="7"/>
        <v>4692.4272456790122</v>
      </c>
      <c r="K25" s="467">
        <f t="shared" si="8"/>
        <v>28520.207155555556</v>
      </c>
      <c r="L25" s="468"/>
      <c r="M25" s="469"/>
    </row>
    <row r="26" spans="1:14" s="11" customFormat="1" ht="15" customHeight="1" outlineLevel="1" x14ac:dyDescent="0.25">
      <c r="A26" s="29"/>
      <c r="C26" s="29"/>
      <c r="D26" s="31"/>
      <c r="E26" s="31"/>
      <c r="F26" s="31"/>
      <c r="G26" s="465"/>
      <c r="H26" s="466"/>
      <c r="I26" s="466"/>
      <c r="J26" s="467"/>
      <c r="K26" s="467"/>
      <c r="L26" s="468"/>
      <c r="M26" s="469"/>
    </row>
    <row r="27" spans="1:14" s="11" customFormat="1" ht="15" customHeight="1" x14ac:dyDescent="0.25">
      <c r="A27" s="474">
        <v>4</v>
      </c>
      <c r="B27" s="475" t="s">
        <v>519</v>
      </c>
      <c r="C27" s="474"/>
      <c r="D27" s="476"/>
      <c r="E27" s="477"/>
      <c r="F27" s="477"/>
      <c r="G27" s="478"/>
      <c r="H27" s="479">
        <f t="shared" si="4"/>
        <v>0</v>
      </c>
      <c r="I27" s="479"/>
      <c r="J27" s="480"/>
      <c r="K27" s="480"/>
      <c r="L27" s="476"/>
      <c r="M27" s="477"/>
      <c r="N27" s="8"/>
    </row>
    <row r="28" spans="1:14" s="11" customFormat="1" ht="15" customHeight="1" outlineLevel="1" x14ac:dyDescent="0.25">
      <c r="A28" s="29"/>
      <c r="B28" s="269" t="s">
        <v>479</v>
      </c>
      <c r="C28" s="29" t="s">
        <v>368</v>
      </c>
      <c r="D28" s="31">
        <f>+SUMIF('Take off_Restroom &amp; ELec room'!$B$148:$B$158,'Rest Room &amp; Electrical Room BOQ'!B28,'Take off_Restroom &amp; ELec room'!I149:I159)</f>
        <v>225.29999999999998</v>
      </c>
      <c r="E28" s="31">
        <v>0.01</v>
      </c>
      <c r="F28" s="31">
        <f t="shared" ref="F28:F48" si="10">(D28*E28)+D28</f>
        <v>227.55299999999997</v>
      </c>
      <c r="G28" s="465">
        <v>2</v>
      </c>
      <c r="H28" s="466">
        <f t="shared" si="4"/>
        <v>455.10599999999994</v>
      </c>
      <c r="I28" s="466">
        <v>0.32</v>
      </c>
      <c r="J28" s="467">
        <f t="shared" ref="J28:J49" si="11">I28*F28</f>
        <v>72.816959999999995</v>
      </c>
      <c r="K28" s="467">
        <f t="shared" ref="K28:K49" si="12">H28+J28</f>
        <v>527.92295999999988</v>
      </c>
      <c r="L28" s="468"/>
      <c r="M28" s="469"/>
    </row>
    <row r="29" spans="1:14" s="11" customFormat="1" ht="15" customHeight="1" outlineLevel="1" x14ac:dyDescent="0.25">
      <c r="A29" s="29"/>
      <c r="B29" s="269" t="s">
        <v>480</v>
      </c>
      <c r="C29" s="29" t="s">
        <v>368</v>
      </c>
      <c r="D29" s="31">
        <f>+SUMIF('Take off_Restroom &amp; ELec room'!$B$148:$B$158,'Rest Room &amp; Electrical Room BOQ'!B29,'Take off_Restroom &amp; ELec room'!I150:I160)</f>
        <v>67.59</v>
      </c>
      <c r="E29" s="31">
        <v>0.01</v>
      </c>
      <c r="F29" s="31">
        <f t="shared" si="10"/>
        <v>68.265900000000002</v>
      </c>
      <c r="G29" s="465">
        <v>45</v>
      </c>
      <c r="H29" s="466">
        <f t="shared" si="4"/>
        <v>3071.9655000000002</v>
      </c>
      <c r="I29" s="466">
        <v>0.41</v>
      </c>
      <c r="J29" s="467">
        <f t="shared" si="11"/>
        <v>27.989018999999999</v>
      </c>
      <c r="K29" s="467">
        <f t="shared" si="12"/>
        <v>3099.9545190000003</v>
      </c>
      <c r="L29" s="468"/>
      <c r="M29" s="469"/>
    </row>
    <row r="30" spans="1:14" s="11" customFormat="1" ht="15" customHeight="1" outlineLevel="1" x14ac:dyDescent="0.25">
      <c r="A30" s="29"/>
      <c r="B30" s="269" t="s">
        <v>481</v>
      </c>
      <c r="C30" s="29" t="s">
        <v>483</v>
      </c>
      <c r="D30" s="31">
        <f>+SUMIF('Take off_Restroom &amp; ELec room'!$B$148:$B$158,'Rest Room &amp; Electrical Room BOQ'!B30,'Take off_Restroom &amp; ELec room'!I151:I161)</f>
        <v>300.59999999999997</v>
      </c>
      <c r="E30" s="31">
        <v>0.01</v>
      </c>
      <c r="F30" s="31">
        <f t="shared" si="10"/>
        <v>303.60599999999994</v>
      </c>
      <c r="G30" s="465">
        <v>4.3600000000000003</v>
      </c>
      <c r="H30" s="466">
        <f t="shared" si="4"/>
        <v>1323.7221599999998</v>
      </c>
      <c r="I30" s="466">
        <v>0.32</v>
      </c>
      <c r="J30" s="467">
        <f t="shared" si="11"/>
        <v>97.153919999999985</v>
      </c>
      <c r="K30" s="467">
        <f t="shared" si="12"/>
        <v>1420.8760799999998</v>
      </c>
      <c r="L30" s="468"/>
      <c r="M30" s="469"/>
    </row>
    <row r="31" spans="1:14" s="11" customFormat="1" ht="15" customHeight="1" outlineLevel="1" x14ac:dyDescent="0.25">
      <c r="A31" s="29"/>
      <c r="B31" s="269" t="s">
        <v>482</v>
      </c>
      <c r="C31" s="29" t="s">
        <v>483</v>
      </c>
      <c r="D31" s="31">
        <f>+SUMIF('Take off_Restroom &amp; ELec room'!$B$148:$B$158,'Rest Room &amp; Electrical Room BOQ'!B31,'Take off_Restroom &amp; ELec room'!I152:I162)</f>
        <v>120</v>
      </c>
      <c r="E31" s="31">
        <v>0.01</v>
      </c>
      <c r="F31" s="31">
        <f t="shared" si="10"/>
        <v>121.2</v>
      </c>
      <c r="G31" s="465">
        <v>5</v>
      </c>
      <c r="H31" s="466">
        <f t="shared" si="4"/>
        <v>606</v>
      </c>
      <c r="I31" s="466">
        <v>0.32</v>
      </c>
      <c r="J31" s="467">
        <f t="shared" si="11"/>
        <v>38.783999999999999</v>
      </c>
      <c r="K31" s="467">
        <f t="shared" si="12"/>
        <v>644.78399999999999</v>
      </c>
      <c r="L31" s="468"/>
      <c r="M31" s="469"/>
    </row>
    <row r="32" spans="1:14" s="11" customFormat="1" ht="15" customHeight="1" outlineLevel="1" x14ac:dyDescent="0.25">
      <c r="A32" s="29"/>
      <c r="B32" s="269" t="s">
        <v>487</v>
      </c>
      <c r="C32" s="29" t="s">
        <v>368</v>
      </c>
      <c r="D32" s="31">
        <f>+SUMIF('Take off_Restroom &amp; ELec room'!$B$148:$B$158,'Rest Room &amp; Electrical Room BOQ'!B32,'Take off_Restroom &amp; ELec room'!I153:I163)</f>
        <v>0</v>
      </c>
      <c r="E32" s="31">
        <v>0.01</v>
      </c>
      <c r="F32" s="31">
        <f t="shared" si="10"/>
        <v>0</v>
      </c>
      <c r="G32" s="465">
        <v>19</v>
      </c>
      <c r="H32" s="466">
        <f t="shared" si="4"/>
        <v>0</v>
      </c>
      <c r="I32" s="466">
        <v>0.32</v>
      </c>
      <c r="J32" s="467">
        <f t="shared" si="11"/>
        <v>0</v>
      </c>
      <c r="K32" s="467">
        <f t="shared" si="12"/>
        <v>0</v>
      </c>
      <c r="L32" s="468"/>
      <c r="M32" s="469"/>
    </row>
    <row r="33" spans="1:13" s="11" customFormat="1" ht="15" customHeight="1" outlineLevel="1" x14ac:dyDescent="0.25">
      <c r="A33" s="29"/>
      <c r="B33" s="269" t="s">
        <v>488</v>
      </c>
      <c r="C33" s="29" t="s">
        <v>368</v>
      </c>
      <c r="D33" s="31">
        <f>+SUMIF('Take off_Restroom &amp; ELec room'!$B$148:$B$158,'Rest Room &amp; Electrical Room BOQ'!B33,'Take off_Restroom &amp; ELec room'!I154:I164)</f>
        <v>0</v>
      </c>
      <c r="E33" s="31">
        <v>0.01</v>
      </c>
      <c r="F33" s="31">
        <f t="shared" si="10"/>
        <v>0</v>
      </c>
      <c r="G33" s="465">
        <v>5</v>
      </c>
      <c r="H33" s="466">
        <f t="shared" si="4"/>
        <v>0</v>
      </c>
      <c r="I33" s="466">
        <v>0.36</v>
      </c>
      <c r="J33" s="467">
        <f t="shared" si="11"/>
        <v>0</v>
      </c>
      <c r="K33" s="467">
        <f t="shared" si="12"/>
        <v>0</v>
      </c>
      <c r="L33" s="468"/>
      <c r="M33" s="469"/>
    </row>
    <row r="34" spans="1:13" s="11" customFormat="1" ht="15" customHeight="1" outlineLevel="1" x14ac:dyDescent="0.25">
      <c r="A34" s="29"/>
      <c r="B34" s="269" t="s">
        <v>489</v>
      </c>
      <c r="C34" s="29" t="s">
        <v>483</v>
      </c>
      <c r="D34" s="31">
        <f>+SUMIF('Take off_Restroom &amp; ELec room'!$B$148:$B$158,'Rest Room &amp; Electrical Room BOQ'!B34,'Take off_Restroom &amp; ELec room'!I155:I165)</f>
        <v>0</v>
      </c>
      <c r="E34" s="31">
        <v>0.01</v>
      </c>
      <c r="F34" s="31">
        <f t="shared" si="10"/>
        <v>0</v>
      </c>
      <c r="G34" s="465">
        <v>12</v>
      </c>
      <c r="H34" s="466">
        <f t="shared" si="4"/>
        <v>0</v>
      </c>
      <c r="I34" s="466">
        <v>0.32</v>
      </c>
      <c r="J34" s="467">
        <f t="shared" si="11"/>
        <v>0</v>
      </c>
      <c r="K34" s="467">
        <f t="shared" si="12"/>
        <v>0</v>
      </c>
      <c r="L34" s="468"/>
      <c r="M34" s="469"/>
    </row>
    <row r="35" spans="1:13" s="11" customFormat="1" ht="15" customHeight="1" outlineLevel="1" x14ac:dyDescent="0.25">
      <c r="A35" s="29"/>
      <c r="B35" s="269" t="s">
        <v>490</v>
      </c>
      <c r="C35" s="29" t="s">
        <v>483</v>
      </c>
      <c r="D35" s="31">
        <f>+SUMIF('Take off_Restroom &amp; ELec room'!$B$148:$B$158,'Rest Room &amp; Electrical Room BOQ'!B35,'Take off_Restroom &amp; ELec room'!I156:I166)</f>
        <v>0</v>
      </c>
      <c r="E35" s="31">
        <v>0.01</v>
      </c>
      <c r="F35" s="31">
        <f t="shared" si="10"/>
        <v>0</v>
      </c>
      <c r="G35" s="465">
        <v>10</v>
      </c>
      <c r="H35" s="466">
        <f t="shared" si="4"/>
        <v>0</v>
      </c>
      <c r="I35" s="466">
        <v>0.41</v>
      </c>
      <c r="J35" s="467">
        <f t="shared" si="11"/>
        <v>0</v>
      </c>
      <c r="K35" s="467">
        <f t="shared" si="12"/>
        <v>0</v>
      </c>
      <c r="L35" s="468"/>
      <c r="M35" s="469"/>
    </row>
    <row r="36" spans="1:13" s="11" customFormat="1" ht="15" customHeight="1" outlineLevel="1" x14ac:dyDescent="0.25">
      <c r="A36" s="29"/>
      <c r="B36" s="269" t="s">
        <v>491</v>
      </c>
      <c r="C36" s="29" t="s">
        <v>368</v>
      </c>
      <c r="D36" s="31">
        <f>+SUMIF('Take off_Restroom &amp; ELec room'!$B$148:$B$158,'Rest Room &amp; Electrical Room BOQ'!B36,'Take off_Restroom &amp; ELec room'!I157:I167)</f>
        <v>0</v>
      </c>
      <c r="E36" s="31">
        <v>0.01</v>
      </c>
      <c r="F36" s="31">
        <f t="shared" si="10"/>
        <v>0</v>
      </c>
      <c r="G36" s="465">
        <v>50</v>
      </c>
      <c r="H36" s="466">
        <f t="shared" si="4"/>
        <v>0</v>
      </c>
      <c r="I36" s="466">
        <v>0.93</v>
      </c>
      <c r="J36" s="467">
        <f t="shared" si="11"/>
        <v>0</v>
      </c>
      <c r="K36" s="467">
        <f t="shared" si="12"/>
        <v>0</v>
      </c>
      <c r="L36" s="468"/>
      <c r="M36" s="469"/>
    </row>
    <row r="37" spans="1:13" s="11" customFormat="1" ht="15" customHeight="1" outlineLevel="1" x14ac:dyDescent="0.25">
      <c r="A37" s="29"/>
      <c r="B37" s="333"/>
      <c r="C37" s="29"/>
      <c r="D37" s="31"/>
      <c r="E37" s="31"/>
      <c r="F37" s="31"/>
      <c r="G37" s="465"/>
      <c r="H37" s="466"/>
      <c r="I37" s="466"/>
      <c r="J37" s="467">
        <f t="shared" si="11"/>
        <v>0</v>
      </c>
      <c r="K37" s="467">
        <f t="shared" si="12"/>
        <v>0</v>
      </c>
      <c r="L37" s="468"/>
      <c r="M37" s="469"/>
    </row>
    <row r="38" spans="1:13" s="11" customFormat="1" ht="15" customHeight="1" outlineLevel="1" x14ac:dyDescent="0.25">
      <c r="A38" s="29"/>
      <c r="B38" s="269" t="s">
        <v>573</v>
      </c>
      <c r="C38" s="29" t="s">
        <v>538</v>
      </c>
      <c r="D38" s="17">
        <v>1</v>
      </c>
      <c r="E38" s="31">
        <v>0.01</v>
      </c>
      <c r="F38" s="31">
        <f t="shared" si="10"/>
        <v>1.01</v>
      </c>
      <c r="G38" s="465">
        <v>65.5</v>
      </c>
      <c r="H38" s="466">
        <f t="shared" si="4"/>
        <v>66.155000000000001</v>
      </c>
      <c r="I38" s="466"/>
      <c r="J38" s="467">
        <f t="shared" si="11"/>
        <v>0</v>
      </c>
      <c r="K38" s="467">
        <f t="shared" si="12"/>
        <v>66.155000000000001</v>
      </c>
      <c r="L38" s="468"/>
      <c r="M38" s="469"/>
    </row>
    <row r="39" spans="1:13" s="11" customFormat="1" ht="15" customHeight="1" outlineLevel="1" x14ac:dyDescent="0.25">
      <c r="A39" s="29"/>
      <c r="B39" s="269" t="s">
        <v>535</v>
      </c>
      <c r="C39" s="29" t="s">
        <v>538</v>
      </c>
      <c r="D39" s="17">
        <v>1</v>
      </c>
      <c r="E39" s="31">
        <v>0.1</v>
      </c>
      <c r="F39" s="31">
        <f t="shared" si="10"/>
        <v>1.1000000000000001</v>
      </c>
      <c r="G39" s="465">
        <v>119</v>
      </c>
      <c r="H39" s="466">
        <f t="shared" si="4"/>
        <v>130.9</v>
      </c>
      <c r="I39" s="466"/>
      <c r="J39" s="467">
        <f t="shared" si="11"/>
        <v>0</v>
      </c>
      <c r="K39" s="467">
        <f t="shared" si="12"/>
        <v>130.9</v>
      </c>
      <c r="L39" s="468"/>
      <c r="M39" s="469"/>
    </row>
    <row r="40" spans="1:13" s="11" customFormat="1" ht="15" customHeight="1" outlineLevel="1" x14ac:dyDescent="0.25">
      <c r="A40" s="29"/>
      <c r="B40" s="269" t="s">
        <v>536</v>
      </c>
      <c r="C40" s="29" t="s">
        <v>538</v>
      </c>
      <c r="D40" s="17">
        <v>1</v>
      </c>
      <c r="E40" s="31">
        <v>0.1</v>
      </c>
      <c r="F40" s="31">
        <f t="shared" si="10"/>
        <v>1.1000000000000001</v>
      </c>
      <c r="G40" s="465">
        <v>73.5</v>
      </c>
      <c r="H40" s="466">
        <f t="shared" si="4"/>
        <v>80.850000000000009</v>
      </c>
      <c r="I40" s="466"/>
      <c r="J40" s="467">
        <f t="shared" si="11"/>
        <v>0</v>
      </c>
      <c r="K40" s="467">
        <f t="shared" si="12"/>
        <v>80.850000000000009</v>
      </c>
      <c r="L40" s="468"/>
      <c r="M40" s="469"/>
    </row>
    <row r="41" spans="1:13" s="11" customFormat="1" ht="15" customHeight="1" outlineLevel="1" x14ac:dyDescent="0.25">
      <c r="A41" s="29"/>
      <c r="B41" s="269" t="s">
        <v>536</v>
      </c>
      <c r="C41" s="29" t="s">
        <v>538</v>
      </c>
      <c r="D41" s="17">
        <v>1</v>
      </c>
      <c r="E41" s="31">
        <v>0.1</v>
      </c>
      <c r="F41" s="31">
        <f t="shared" si="10"/>
        <v>1.1000000000000001</v>
      </c>
      <c r="G41" s="465">
        <v>73.5</v>
      </c>
      <c r="H41" s="466">
        <f t="shared" si="4"/>
        <v>80.850000000000009</v>
      </c>
      <c r="I41" s="466"/>
      <c r="J41" s="467">
        <f t="shared" si="11"/>
        <v>0</v>
      </c>
      <c r="K41" s="467">
        <f t="shared" si="12"/>
        <v>80.850000000000009</v>
      </c>
      <c r="L41" s="468"/>
      <c r="M41" s="469"/>
    </row>
    <row r="42" spans="1:13" s="11" customFormat="1" ht="15" customHeight="1" outlineLevel="1" x14ac:dyDescent="0.25">
      <c r="A42" s="29"/>
      <c r="B42" s="269" t="s">
        <v>537</v>
      </c>
      <c r="C42" s="29" t="s">
        <v>538</v>
      </c>
      <c r="D42" s="17">
        <v>2</v>
      </c>
      <c r="E42" s="31">
        <v>0.1</v>
      </c>
      <c r="F42" s="31">
        <f t="shared" si="10"/>
        <v>2.2000000000000002</v>
      </c>
      <c r="G42" s="465">
        <v>67.5</v>
      </c>
      <c r="H42" s="466">
        <f t="shared" si="4"/>
        <v>148.5</v>
      </c>
      <c r="I42" s="466"/>
      <c r="J42" s="467">
        <f t="shared" si="11"/>
        <v>0</v>
      </c>
      <c r="K42" s="467">
        <f t="shared" si="12"/>
        <v>148.5</v>
      </c>
      <c r="L42" s="468"/>
      <c r="M42" s="469"/>
    </row>
    <row r="43" spans="1:13" s="11" customFormat="1" ht="15" customHeight="1" outlineLevel="1" x14ac:dyDescent="0.25">
      <c r="A43" s="29"/>
      <c r="B43" s="269" t="s">
        <v>574</v>
      </c>
      <c r="C43" s="29" t="s">
        <v>19</v>
      </c>
      <c r="D43" s="17">
        <v>2</v>
      </c>
      <c r="E43" s="31">
        <v>0.1</v>
      </c>
      <c r="F43" s="31">
        <f t="shared" si="10"/>
        <v>2.2000000000000002</v>
      </c>
      <c r="G43" s="465">
        <v>5.33</v>
      </c>
      <c r="H43" s="466">
        <f t="shared" si="4"/>
        <v>11.726000000000001</v>
      </c>
      <c r="I43" s="466"/>
      <c r="J43" s="467">
        <f t="shared" si="11"/>
        <v>0</v>
      </c>
      <c r="K43" s="467">
        <f t="shared" si="12"/>
        <v>11.726000000000001</v>
      </c>
      <c r="L43" s="468"/>
      <c r="M43" s="469"/>
    </row>
    <row r="44" spans="1:13" s="11" customFormat="1" ht="15" customHeight="1" outlineLevel="1" x14ac:dyDescent="0.25">
      <c r="A44" s="29"/>
      <c r="B44" s="269" t="s">
        <v>575</v>
      </c>
      <c r="C44" s="29" t="s">
        <v>19</v>
      </c>
      <c r="D44" s="17">
        <v>2</v>
      </c>
      <c r="E44" s="31">
        <v>0.1</v>
      </c>
      <c r="F44" s="31">
        <f t="shared" si="10"/>
        <v>2.2000000000000002</v>
      </c>
      <c r="G44" s="465">
        <v>4.2</v>
      </c>
      <c r="H44" s="466">
        <f t="shared" si="4"/>
        <v>9.240000000000002</v>
      </c>
      <c r="I44" s="466"/>
      <c r="J44" s="467">
        <f t="shared" si="11"/>
        <v>0</v>
      </c>
      <c r="K44" s="467">
        <f t="shared" si="12"/>
        <v>9.240000000000002</v>
      </c>
      <c r="L44" s="468"/>
      <c r="M44" s="469"/>
    </row>
    <row r="45" spans="1:13" s="11" customFormat="1" ht="15" customHeight="1" outlineLevel="1" x14ac:dyDescent="0.25">
      <c r="A45" s="29"/>
      <c r="B45" s="269" t="s">
        <v>576</v>
      </c>
      <c r="C45" s="29" t="s">
        <v>580</v>
      </c>
      <c r="D45" s="17">
        <v>1</v>
      </c>
      <c r="E45" s="31">
        <v>0.05</v>
      </c>
      <c r="F45" s="31">
        <f t="shared" si="10"/>
        <v>1.05</v>
      </c>
      <c r="G45" s="465">
        <v>0.49944444444444447</v>
      </c>
      <c r="H45" s="466">
        <f t="shared" si="4"/>
        <v>0.52441666666666675</v>
      </c>
      <c r="I45" s="466"/>
      <c r="J45" s="467">
        <f t="shared" si="11"/>
        <v>0</v>
      </c>
      <c r="K45" s="467">
        <f t="shared" si="12"/>
        <v>0.52441666666666675</v>
      </c>
      <c r="L45" s="468"/>
      <c r="M45" s="469"/>
    </row>
    <row r="46" spans="1:13" s="11" customFormat="1" ht="15" customHeight="1" outlineLevel="1" x14ac:dyDescent="0.25">
      <c r="A46" s="29"/>
      <c r="B46" s="269" t="s">
        <v>577</v>
      </c>
      <c r="C46" s="29" t="s">
        <v>538</v>
      </c>
      <c r="D46" s="17">
        <v>2</v>
      </c>
      <c r="E46" s="31">
        <v>0.01</v>
      </c>
      <c r="F46" s="31">
        <f t="shared" si="10"/>
        <v>2.02</v>
      </c>
      <c r="G46" s="465">
        <v>18.899999999999999</v>
      </c>
      <c r="H46" s="466">
        <f t="shared" si="4"/>
        <v>38.177999999999997</v>
      </c>
      <c r="I46" s="466"/>
      <c r="J46" s="467">
        <f t="shared" si="11"/>
        <v>0</v>
      </c>
      <c r="K46" s="467">
        <f t="shared" si="12"/>
        <v>38.177999999999997</v>
      </c>
      <c r="L46" s="468"/>
      <c r="M46" s="469"/>
    </row>
    <row r="47" spans="1:13" s="11" customFormat="1" ht="15" customHeight="1" outlineLevel="1" x14ac:dyDescent="0.25">
      <c r="A47" s="29"/>
      <c r="B47" s="269" t="s">
        <v>578</v>
      </c>
      <c r="C47" s="29" t="s">
        <v>538</v>
      </c>
      <c r="D47" s="17">
        <v>1</v>
      </c>
      <c r="E47" s="31">
        <v>0.01</v>
      </c>
      <c r="F47" s="31">
        <f t="shared" si="10"/>
        <v>1.01</v>
      </c>
      <c r="G47" s="465">
        <v>19</v>
      </c>
      <c r="H47" s="466">
        <f t="shared" si="4"/>
        <v>19.190000000000001</v>
      </c>
      <c r="I47" s="466"/>
      <c r="J47" s="467">
        <f t="shared" si="11"/>
        <v>0</v>
      </c>
      <c r="K47" s="467">
        <f t="shared" si="12"/>
        <v>19.190000000000001</v>
      </c>
      <c r="L47" s="468"/>
      <c r="M47" s="469"/>
    </row>
    <row r="48" spans="1:13" s="11" customFormat="1" ht="15" customHeight="1" outlineLevel="1" x14ac:dyDescent="0.25">
      <c r="A48" s="29"/>
      <c r="B48" s="269" t="s">
        <v>579</v>
      </c>
      <c r="C48" s="29" t="s">
        <v>19</v>
      </c>
      <c r="D48" s="17">
        <v>3</v>
      </c>
      <c r="E48" s="31">
        <v>0.01</v>
      </c>
      <c r="F48" s="31">
        <f t="shared" si="10"/>
        <v>3.03</v>
      </c>
      <c r="G48" s="465">
        <v>2.0499999999999998</v>
      </c>
      <c r="H48" s="466">
        <f t="shared" si="4"/>
        <v>6.2114999999999991</v>
      </c>
      <c r="I48" s="466"/>
      <c r="J48" s="467">
        <f t="shared" si="11"/>
        <v>0</v>
      </c>
      <c r="K48" s="467">
        <f t="shared" si="12"/>
        <v>6.2114999999999991</v>
      </c>
      <c r="L48" s="468"/>
      <c r="M48" s="469"/>
    </row>
    <row r="49" spans="1:14" s="11" customFormat="1" ht="15" customHeight="1" outlineLevel="1" x14ac:dyDescent="0.25">
      <c r="A49" s="29"/>
      <c r="B49" s="333"/>
      <c r="C49" s="29"/>
      <c r="D49" s="31"/>
      <c r="E49" s="31"/>
      <c r="F49" s="31"/>
      <c r="G49" s="465"/>
      <c r="H49" s="466"/>
      <c r="I49" s="466"/>
      <c r="J49" s="467">
        <f t="shared" si="11"/>
        <v>0</v>
      </c>
      <c r="K49" s="467">
        <f t="shared" si="12"/>
        <v>0</v>
      </c>
      <c r="L49" s="468"/>
      <c r="M49" s="469"/>
    </row>
    <row r="50" spans="1:14" s="481" customFormat="1" ht="15" customHeight="1" x14ac:dyDescent="0.25">
      <c r="A50" s="476">
        <v>5</v>
      </c>
      <c r="B50" s="476" t="s">
        <v>390</v>
      </c>
      <c r="C50" s="476"/>
      <c r="D50" s="476"/>
      <c r="E50" s="476"/>
      <c r="F50" s="476"/>
      <c r="G50" s="476"/>
      <c r="H50" s="476"/>
      <c r="I50" s="476"/>
      <c r="J50" s="476"/>
      <c r="K50" s="476"/>
      <c r="L50" s="476"/>
      <c r="M50" s="476"/>
      <c r="N50" s="8"/>
    </row>
    <row r="51" spans="1:14" ht="15" customHeight="1" x14ac:dyDescent="0.25">
      <c r="A51" s="16"/>
      <c r="B51" s="269" t="s">
        <v>529</v>
      </c>
      <c r="C51" s="29" t="s">
        <v>368</v>
      </c>
      <c r="D51" s="31">
        <f>SUMIF($B$50:$B$61,B51,'Take off_Restroom &amp; ELec room'!H164:H180)</f>
        <v>48.512</v>
      </c>
      <c r="E51" s="31">
        <v>0.1</v>
      </c>
      <c r="F51" s="31">
        <f t="shared" ref="F51:F61" si="13">(D51*E51)+D51</f>
        <v>53.363199999999999</v>
      </c>
      <c r="G51" s="465">
        <v>2</v>
      </c>
      <c r="H51" s="466">
        <f t="shared" ref="H51:H74" si="14">G51*F51</f>
        <v>106.7264</v>
      </c>
      <c r="I51" s="466">
        <v>0.32</v>
      </c>
      <c r="J51" s="467">
        <f t="shared" ref="J51:J61" si="15">I51*F51</f>
        <v>17.076224</v>
      </c>
      <c r="K51" s="467">
        <f t="shared" ref="K51:K61" si="16">H51+J51</f>
        <v>123.80262399999999</v>
      </c>
      <c r="L51" s="472"/>
      <c r="M51" s="473"/>
    </row>
    <row r="52" spans="1:14" ht="15" customHeight="1" x14ac:dyDescent="0.25">
      <c r="A52" s="16"/>
      <c r="B52" s="269" t="s">
        <v>530</v>
      </c>
      <c r="C52" s="29" t="s">
        <v>368</v>
      </c>
      <c r="D52" s="31">
        <f>SUMIF($B$50:$B$61,B52,'Take off_Restroom &amp; ELec room'!H165:H181)</f>
        <v>38.400000000000006</v>
      </c>
      <c r="E52" s="31">
        <v>0.1</v>
      </c>
      <c r="F52" s="31">
        <f t="shared" si="13"/>
        <v>42.240000000000009</v>
      </c>
      <c r="G52" s="465">
        <v>1.2</v>
      </c>
      <c r="H52" s="466">
        <f t="shared" si="14"/>
        <v>50.688000000000009</v>
      </c>
      <c r="I52" s="466">
        <v>0.36</v>
      </c>
      <c r="J52" s="467">
        <f t="shared" si="15"/>
        <v>15.206400000000002</v>
      </c>
      <c r="K52" s="467">
        <f t="shared" si="16"/>
        <v>65.894400000000019</v>
      </c>
      <c r="L52" s="472"/>
      <c r="M52" s="473"/>
    </row>
    <row r="53" spans="1:14" ht="15" customHeight="1" x14ac:dyDescent="0.25">
      <c r="A53" s="16"/>
      <c r="B53" s="269" t="s">
        <v>531</v>
      </c>
      <c r="C53" s="29" t="s">
        <v>483</v>
      </c>
      <c r="D53" s="31">
        <f>'Take off_Restroom &amp; ELec room'!H167+'Take off_Restroom &amp; ELec room'!H172+'Take off_Restroom &amp; ELec room'!H177</f>
        <v>144.21666666666667</v>
      </c>
      <c r="E53" s="31">
        <v>0.05</v>
      </c>
      <c r="F53" s="31">
        <f t="shared" si="13"/>
        <v>151.42750000000001</v>
      </c>
      <c r="G53" s="465">
        <v>2.2999999999999998</v>
      </c>
      <c r="H53" s="466">
        <f t="shared" si="14"/>
        <v>348.28325000000001</v>
      </c>
      <c r="I53" s="466">
        <v>0.69</v>
      </c>
      <c r="J53" s="467">
        <f t="shared" si="15"/>
        <v>104.48497499999999</v>
      </c>
      <c r="K53" s="467">
        <f t="shared" si="16"/>
        <v>452.76822500000003</v>
      </c>
      <c r="L53" s="472"/>
      <c r="M53" s="473"/>
    </row>
    <row r="54" spans="1:14" ht="15" customHeight="1" x14ac:dyDescent="0.25">
      <c r="A54" s="16"/>
      <c r="B54" s="269" t="s">
        <v>532</v>
      </c>
      <c r="C54" s="29" t="s">
        <v>483</v>
      </c>
      <c r="D54" s="31">
        <f>SUMIF($B$50:$B$61,B54,'Take off_Restroom &amp; ELec room'!H167:H183)</f>
        <v>101.572</v>
      </c>
      <c r="E54" s="31">
        <v>0.1</v>
      </c>
      <c r="F54" s="31">
        <f t="shared" si="13"/>
        <v>111.72920000000001</v>
      </c>
      <c r="G54" s="465">
        <v>2.2999999999999998</v>
      </c>
      <c r="H54" s="466">
        <f t="shared" si="14"/>
        <v>256.97715999999997</v>
      </c>
      <c r="I54" s="466">
        <v>0.69</v>
      </c>
      <c r="J54" s="467">
        <f t="shared" si="15"/>
        <v>77.093147999999999</v>
      </c>
      <c r="K54" s="467">
        <f t="shared" si="16"/>
        <v>334.07030799999995</v>
      </c>
      <c r="L54" s="472"/>
      <c r="M54" s="473"/>
    </row>
    <row r="55" spans="1:14" ht="15" customHeight="1" x14ac:dyDescent="0.25">
      <c r="A55" s="16"/>
      <c r="B55" s="269" t="s">
        <v>533</v>
      </c>
      <c r="C55" s="29" t="s">
        <v>513</v>
      </c>
      <c r="D55" s="31">
        <f>SUMIF($B$50:$B$61,B55,'Take off_Restroom &amp; ELec room'!H168:H184)</f>
        <v>53.06</v>
      </c>
      <c r="E55" s="31">
        <v>0.1</v>
      </c>
      <c r="F55" s="31">
        <f t="shared" si="13"/>
        <v>58.366</v>
      </c>
      <c r="G55" s="465">
        <v>5</v>
      </c>
      <c r="H55" s="466">
        <f t="shared" si="14"/>
        <v>291.83</v>
      </c>
      <c r="I55" s="466">
        <v>1.5</v>
      </c>
      <c r="J55" s="467">
        <f t="shared" si="15"/>
        <v>87.549000000000007</v>
      </c>
      <c r="K55" s="467">
        <f t="shared" si="16"/>
        <v>379.37900000000002</v>
      </c>
      <c r="L55" s="472"/>
      <c r="M55" s="473"/>
    </row>
    <row r="56" spans="1:14" ht="15" customHeight="1" x14ac:dyDescent="0.25">
      <c r="A56" s="16"/>
      <c r="B56" s="269" t="s">
        <v>534</v>
      </c>
      <c r="C56" s="29" t="s">
        <v>513</v>
      </c>
      <c r="D56" s="31">
        <f>SUMIF($B$50:$B$61,B56,'Take off_Restroom &amp; ELec room'!H169:H185)</f>
        <v>29.889999999999997</v>
      </c>
      <c r="E56" s="31">
        <v>0.1</v>
      </c>
      <c r="F56" s="31">
        <f t="shared" si="13"/>
        <v>32.878999999999998</v>
      </c>
      <c r="G56" s="465">
        <v>0.49944444444444447</v>
      </c>
      <c r="H56" s="466">
        <f t="shared" si="14"/>
        <v>16.421233888888889</v>
      </c>
      <c r="I56" s="466"/>
      <c r="J56" s="467">
        <f t="shared" si="15"/>
        <v>0</v>
      </c>
      <c r="K56" s="467">
        <f t="shared" si="16"/>
        <v>16.421233888888889</v>
      </c>
      <c r="L56" s="472"/>
      <c r="M56" s="473"/>
    </row>
    <row r="57" spans="1:14" ht="15" customHeight="1" x14ac:dyDescent="0.25">
      <c r="A57" s="16"/>
      <c r="B57" s="269" t="s">
        <v>535</v>
      </c>
      <c r="C57" s="29" t="s">
        <v>538</v>
      </c>
      <c r="D57" s="31">
        <f>SUMIF($B$50:$B$61,B57,'Take off_Restroom &amp; ELec room'!H170:H186)</f>
        <v>25.416666666666664</v>
      </c>
      <c r="E57" s="31">
        <v>0.1</v>
      </c>
      <c r="F57" s="31">
        <f t="shared" si="13"/>
        <v>27.958333333333332</v>
      </c>
      <c r="G57" s="465">
        <v>119</v>
      </c>
      <c r="H57" s="466">
        <f t="shared" si="14"/>
        <v>3327.0416666666665</v>
      </c>
      <c r="I57" s="466"/>
      <c r="J57" s="467">
        <f t="shared" si="15"/>
        <v>0</v>
      </c>
      <c r="K57" s="467">
        <f t="shared" si="16"/>
        <v>3327.0416666666665</v>
      </c>
      <c r="L57" s="472"/>
      <c r="M57" s="473"/>
    </row>
    <row r="58" spans="1:14" ht="15" customHeight="1" x14ac:dyDescent="0.25">
      <c r="A58" s="16"/>
      <c r="B58" s="269" t="s">
        <v>536</v>
      </c>
      <c r="C58" s="29" t="s">
        <v>538</v>
      </c>
      <c r="D58" s="31">
        <v>1</v>
      </c>
      <c r="E58" s="31">
        <v>0.1</v>
      </c>
      <c r="F58" s="31">
        <f t="shared" si="13"/>
        <v>1.1000000000000001</v>
      </c>
      <c r="G58" s="465">
        <v>73.5</v>
      </c>
      <c r="H58" s="466">
        <f t="shared" si="14"/>
        <v>80.850000000000009</v>
      </c>
      <c r="I58" s="466"/>
      <c r="J58" s="467">
        <f t="shared" si="15"/>
        <v>0</v>
      </c>
      <c r="K58" s="467">
        <f t="shared" si="16"/>
        <v>80.850000000000009</v>
      </c>
      <c r="L58" s="472"/>
      <c r="M58" s="473"/>
    </row>
    <row r="59" spans="1:14" ht="15" customHeight="1" x14ac:dyDescent="0.25">
      <c r="A59" s="16"/>
      <c r="B59" s="269" t="s">
        <v>536</v>
      </c>
      <c r="C59" s="29" t="s">
        <v>538</v>
      </c>
      <c r="D59" s="31">
        <v>1</v>
      </c>
      <c r="E59" s="31">
        <v>0.1</v>
      </c>
      <c r="F59" s="31">
        <f t="shared" si="13"/>
        <v>1.1000000000000001</v>
      </c>
      <c r="G59" s="465">
        <v>73.5</v>
      </c>
      <c r="H59" s="466">
        <f t="shared" si="14"/>
        <v>80.850000000000009</v>
      </c>
      <c r="I59" s="466"/>
      <c r="J59" s="467">
        <f t="shared" si="15"/>
        <v>0</v>
      </c>
      <c r="K59" s="467">
        <f t="shared" si="16"/>
        <v>80.850000000000009</v>
      </c>
      <c r="L59" s="472"/>
      <c r="M59" s="473"/>
    </row>
    <row r="60" spans="1:14" ht="15" customHeight="1" x14ac:dyDescent="0.25">
      <c r="A60" s="16"/>
      <c r="B60" s="269" t="s">
        <v>537</v>
      </c>
      <c r="C60" s="29" t="s">
        <v>538</v>
      </c>
      <c r="D60" s="31">
        <f>SUMIF($B$50:$B$61,B60,'Take off_Restroom &amp; ELec room'!H173:H189)</f>
        <v>16</v>
      </c>
      <c r="E60" s="31">
        <v>0.1</v>
      </c>
      <c r="F60" s="31">
        <f t="shared" si="13"/>
        <v>17.600000000000001</v>
      </c>
      <c r="G60" s="465">
        <v>67.5</v>
      </c>
      <c r="H60" s="466">
        <f t="shared" si="14"/>
        <v>1188</v>
      </c>
      <c r="I60" s="466"/>
      <c r="J60" s="467">
        <f t="shared" si="15"/>
        <v>0</v>
      </c>
      <c r="K60" s="467">
        <f t="shared" si="16"/>
        <v>1188</v>
      </c>
      <c r="L60" s="472"/>
      <c r="M60" s="473"/>
    </row>
    <row r="61" spans="1:14" ht="15" customHeight="1" x14ac:dyDescent="0.25">
      <c r="A61" s="16"/>
      <c r="B61" s="269" t="s">
        <v>539</v>
      </c>
      <c r="C61" s="29" t="s">
        <v>368</v>
      </c>
      <c r="D61" s="31"/>
      <c r="E61" s="31">
        <v>0.1</v>
      </c>
      <c r="F61" s="31">
        <f t="shared" si="13"/>
        <v>0</v>
      </c>
      <c r="G61" s="465">
        <v>44</v>
      </c>
      <c r="H61" s="466">
        <f t="shared" si="14"/>
        <v>0</v>
      </c>
      <c r="I61" s="466"/>
      <c r="J61" s="467">
        <f t="shared" si="15"/>
        <v>0</v>
      </c>
      <c r="K61" s="467">
        <f t="shared" si="16"/>
        <v>0</v>
      </c>
      <c r="L61" s="472"/>
      <c r="M61" s="473"/>
    </row>
    <row r="62" spans="1:14" s="11" customFormat="1" ht="15" customHeight="1" outlineLevel="1" x14ac:dyDescent="0.25">
      <c r="A62" s="29"/>
      <c r="B62" s="333"/>
      <c r="C62" s="29"/>
      <c r="D62" s="31"/>
      <c r="E62" s="31"/>
      <c r="F62" s="31"/>
      <c r="G62" s="465"/>
      <c r="H62" s="466">
        <f t="shared" si="14"/>
        <v>0</v>
      </c>
      <c r="I62" s="466"/>
      <c r="J62" s="467"/>
      <c r="K62" s="467"/>
      <c r="L62" s="468"/>
      <c r="M62" s="469"/>
    </row>
    <row r="63" spans="1:14" s="11" customFormat="1" ht="15" customHeight="1" x14ac:dyDescent="0.25">
      <c r="A63" s="477">
        <v>6</v>
      </c>
      <c r="B63" s="476" t="s">
        <v>520</v>
      </c>
      <c r="C63" s="477"/>
      <c r="D63" s="477"/>
      <c r="E63" s="477"/>
      <c r="F63" s="477"/>
      <c r="G63" s="477"/>
      <c r="H63" s="477"/>
      <c r="I63" s="477"/>
      <c r="J63" s="477"/>
      <c r="K63" s="477"/>
      <c r="L63" s="476"/>
      <c r="M63" s="477"/>
      <c r="N63" s="8"/>
    </row>
    <row r="64" spans="1:14" s="11" customFormat="1" ht="15" customHeight="1" outlineLevel="1" x14ac:dyDescent="0.25">
      <c r="A64" s="29"/>
      <c r="B64" s="269" t="s">
        <v>454</v>
      </c>
      <c r="C64" s="29" t="s">
        <v>19</v>
      </c>
      <c r="D64" s="31"/>
      <c r="E64" s="31"/>
      <c r="F64" s="31">
        <f>D64</f>
        <v>0</v>
      </c>
      <c r="G64" s="465">
        <v>1500</v>
      </c>
      <c r="H64" s="466">
        <f t="shared" si="14"/>
        <v>0</v>
      </c>
      <c r="I64" s="466">
        <v>450</v>
      </c>
      <c r="J64" s="467">
        <f t="shared" ref="J64:J75" si="17">I64*F64</f>
        <v>0</v>
      </c>
      <c r="K64" s="467">
        <f t="shared" ref="K64:K75" si="18">H64+J64</f>
        <v>0</v>
      </c>
      <c r="L64" s="468"/>
      <c r="M64" s="469"/>
    </row>
    <row r="65" spans="1:14" s="11" customFormat="1" ht="15" customHeight="1" outlineLevel="1" x14ac:dyDescent="0.25">
      <c r="A65" s="29"/>
      <c r="B65" s="269" t="s">
        <v>455</v>
      </c>
      <c r="C65" s="29" t="s">
        <v>19</v>
      </c>
      <c r="D65" s="31">
        <f>SUM('Doors &amp; Windows Schedule'!D16:D18)+'Doors &amp; Windows Schedule'!D20</f>
        <v>4</v>
      </c>
      <c r="E65" s="31"/>
      <c r="F65" s="31">
        <f t="shared" ref="F65:F67" si="19">D65</f>
        <v>4</v>
      </c>
      <c r="G65" s="465">
        <v>2000</v>
      </c>
      <c r="H65" s="466">
        <f t="shared" si="14"/>
        <v>8000</v>
      </c>
      <c r="I65" s="466">
        <f t="shared" ref="I65:I67" si="20">G65*0.3</f>
        <v>600</v>
      </c>
      <c r="J65" s="467">
        <f t="shared" si="17"/>
        <v>2400</v>
      </c>
      <c r="K65" s="467">
        <f t="shared" si="18"/>
        <v>10400</v>
      </c>
      <c r="L65" s="468"/>
      <c r="M65" s="469"/>
    </row>
    <row r="66" spans="1:14" s="11" customFormat="1" ht="15" customHeight="1" outlineLevel="1" x14ac:dyDescent="0.25">
      <c r="A66" s="29"/>
      <c r="B66" s="269" t="s">
        <v>456</v>
      </c>
      <c r="C66" s="29" t="s">
        <v>19</v>
      </c>
      <c r="D66" s="31"/>
      <c r="E66" s="31"/>
      <c r="F66" s="31">
        <f t="shared" si="19"/>
        <v>0</v>
      </c>
      <c r="G66" s="465">
        <v>4000</v>
      </c>
      <c r="H66" s="466">
        <f t="shared" si="14"/>
        <v>0</v>
      </c>
      <c r="I66" s="466">
        <f t="shared" si="20"/>
        <v>1200</v>
      </c>
      <c r="J66" s="467">
        <f t="shared" si="17"/>
        <v>0</v>
      </c>
      <c r="K66" s="467">
        <f t="shared" si="18"/>
        <v>0</v>
      </c>
      <c r="L66" s="468"/>
      <c r="M66" s="469"/>
    </row>
    <row r="67" spans="1:14" s="11" customFormat="1" ht="15" customHeight="1" outlineLevel="1" x14ac:dyDescent="0.25">
      <c r="A67" s="29"/>
      <c r="B67" s="269" t="s">
        <v>457</v>
      </c>
      <c r="C67" s="29" t="s">
        <v>19</v>
      </c>
      <c r="D67" s="31"/>
      <c r="E67" s="31"/>
      <c r="F67" s="31">
        <f t="shared" si="19"/>
        <v>0</v>
      </c>
      <c r="G67" s="465">
        <v>150</v>
      </c>
      <c r="H67" s="466">
        <f t="shared" si="14"/>
        <v>0</v>
      </c>
      <c r="I67" s="466">
        <f t="shared" si="20"/>
        <v>45</v>
      </c>
      <c r="J67" s="467">
        <f t="shared" si="17"/>
        <v>0</v>
      </c>
      <c r="K67" s="467">
        <f t="shared" si="18"/>
        <v>0</v>
      </c>
      <c r="L67" s="468"/>
      <c r="M67" s="469"/>
    </row>
    <row r="68" spans="1:14" s="11" customFormat="1" ht="15" customHeight="1" outlineLevel="1" x14ac:dyDescent="0.25">
      <c r="A68" s="29"/>
      <c r="B68" s="269"/>
      <c r="C68" s="29"/>
      <c r="D68" s="31">
        <v>4</v>
      </c>
      <c r="E68" s="31"/>
      <c r="F68" s="31"/>
      <c r="G68" s="465"/>
      <c r="H68" s="466">
        <f t="shared" si="14"/>
        <v>0</v>
      </c>
      <c r="I68" s="466"/>
      <c r="J68" s="467">
        <f t="shared" si="17"/>
        <v>0</v>
      </c>
      <c r="K68" s="467">
        <f t="shared" si="18"/>
        <v>0</v>
      </c>
      <c r="L68" s="468"/>
      <c r="M68" s="469"/>
    </row>
    <row r="69" spans="1:14" s="11" customFormat="1" ht="15" customHeight="1" outlineLevel="1" x14ac:dyDescent="0.25">
      <c r="A69" s="29"/>
      <c r="B69" s="269" t="s">
        <v>581</v>
      </c>
      <c r="C69" s="29" t="s">
        <v>580</v>
      </c>
      <c r="D69" s="31">
        <f>D68*17</f>
        <v>68</v>
      </c>
      <c r="E69" s="31">
        <v>0.05</v>
      </c>
      <c r="F69" s="31">
        <f t="shared" ref="F69:F74" si="21">(D69*E69)+D69</f>
        <v>71.400000000000006</v>
      </c>
      <c r="G69" s="465">
        <v>8.2755555555555554E-2</v>
      </c>
      <c r="H69" s="466">
        <f t="shared" si="14"/>
        <v>5.9087466666666675</v>
      </c>
      <c r="I69" s="466"/>
      <c r="J69" s="467">
        <f t="shared" si="17"/>
        <v>0</v>
      </c>
      <c r="K69" s="467">
        <f t="shared" si="18"/>
        <v>5.9087466666666675</v>
      </c>
      <c r="L69" s="468"/>
      <c r="M69" s="469"/>
    </row>
    <row r="70" spans="1:14" s="11" customFormat="1" ht="15" customHeight="1" outlineLevel="1" x14ac:dyDescent="0.25">
      <c r="A70" s="29"/>
      <c r="B70" s="269" t="s">
        <v>582</v>
      </c>
      <c r="C70" s="29" t="s">
        <v>19</v>
      </c>
      <c r="D70" s="31">
        <v>3</v>
      </c>
      <c r="E70" s="31">
        <v>0.05</v>
      </c>
      <c r="F70" s="31">
        <f t="shared" si="21"/>
        <v>3.15</v>
      </c>
      <c r="G70" s="465">
        <v>17.68</v>
      </c>
      <c r="H70" s="466">
        <f t="shared" si="14"/>
        <v>55.692</v>
      </c>
      <c r="I70" s="466"/>
      <c r="J70" s="467">
        <f t="shared" si="17"/>
        <v>0</v>
      </c>
      <c r="K70" s="467">
        <f t="shared" si="18"/>
        <v>55.692</v>
      </c>
      <c r="L70" s="468"/>
      <c r="M70" s="469"/>
    </row>
    <row r="71" spans="1:14" s="11" customFormat="1" ht="15" customHeight="1" outlineLevel="1" x14ac:dyDescent="0.25">
      <c r="A71" s="29"/>
      <c r="B71" s="269" t="s">
        <v>583</v>
      </c>
      <c r="C71" s="29" t="s">
        <v>483</v>
      </c>
      <c r="D71" s="31">
        <f>+SUM('Doors &amp; Windows Schedule'!M16:M21)</f>
        <v>68</v>
      </c>
      <c r="E71" s="31">
        <v>0.05</v>
      </c>
      <c r="F71" s="31">
        <f t="shared" si="21"/>
        <v>71.400000000000006</v>
      </c>
      <c r="G71" s="465">
        <v>0.49</v>
      </c>
      <c r="H71" s="466">
        <f t="shared" si="14"/>
        <v>34.986000000000004</v>
      </c>
      <c r="I71" s="466"/>
      <c r="J71" s="467">
        <f t="shared" si="17"/>
        <v>0</v>
      </c>
      <c r="K71" s="467">
        <f t="shared" si="18"/>
        <v>34.986000000000004</v>
      </c>
      <c r="L71" s="468"/>
      <c r="M71" s="469"/>
    </row>
    <row r="72" spans="1:14" s="11" customFormat="1" ht="15" customHeight="1" outlineLevel="1" x14ac:dyDescent="0.25">
      <c r="A72" s="29"/>
      <c r="B72" s="269" t="s">
        <v>584</v>
      </c>
      <c r="C72" s="29" t="s">
        <v>586</v>
      </c>
      <c r="D72" s="31">
        <v>5</v>
      </c>
      <c r="E72" s="31">
        <v>0.05</v>
      </c>
      <c r="F72" s="31">
        <f t="shared" si="21"/>
        <v>5.25</v>
      </c>
      <c r="G72" s="465">
        <v>8.9000000000000006E-4</v>
      </c>
      <c r="H72" s="466">
        <f t="shared" si="14"/>
        <v>4.6725000000000004E-3</v>
      </c>
      <c r="I72" s="466"/>
      <c r="J72" s="467">
        <f t="shared" si="17"/>
        <v>0</v>
      </c>
      <c r="K72" s="467">
        <f t="shared" si="18"/>
        <v>4.6725000000000004E-3</v>
      </c>
      <c r="L72" s="468"/>
      <c r="M72" s="469"/>
    </row>
    <row r="73" spans="1:14" s="11" customFormat="1" ht="15" customHeight="1" outlineLevel="1" x14ac:dyDescent="0.25">
      <c r="A73" s="29"/>
      <c r="B73" s="269" t="s">
        <v>585</v>
      </c>
      <c r="C73" s="29" t="s">
        <v>19</v>
      </c>
      <c r="D73" s="31">
        <f>D68*20</f>
        <v>80</v>
      </c>
      <c r="E73" s="31">
        <v>0.05</v>
      </c>
      <c r="F73" s="31">
        <f t="shared" si="21"/>
        <v>84</v>
      </c>
      <c r="G73" s="465">
        <v>0.29859999999999998</v>
      </c>
      <c r="H73" s="466">
        <f t="shared" si="14"/>
        <v>25.0824</v>
      </c>
      <c r="I73" s="466"/>
      <c r="J73" s="467">
        <f t="shared" si="17"/>
        <v>0</v>
      </c>
      <c r="K73" s="467">
        <f t="shared" si="18"/>
        <v>25.0824</v>
      </c>
      <c r="L73" s="468"/>
      <c r="M73" s="469"/>
    </row>
    <row r="74" spans="1:14" s="11" customFormat="1" ht="15" customHeight="1" outlineLevel="1" x14ac:dyDescent="0.25">
      <c r="A74" s="29"/>
      <c r="B74" s="269" t="s">
        <v>585</v>
      </c>
      <c r="C74" s="29" t="s">
        <v>19</v>
      </c>
      <c r="D74" s="31">
        <f>D73</f>
        <v>80</v>
      </c>
      <c r="E74" s="31">
        <v>0.05</v>
      </c>
      <c r="F74" s="31">
        <f t="shared" si="21"/>
        <v>84</v>
      </c>
      <c r="G74" s="465">
        <v>0.29859999999999998</v>
      </c>
      <c r="H74" s="466">
        <f t="shared" si="14"/>
        <v>25.0824</v>
      </c>
      <c r="I74" s="466"/>
      <c r="J74" s="467">
        <f t="shared" si="17"/>
        <v>0</v>
      </c>
      <c r="K74" s="467">
        <f t="shared" si="18"/>
        <v>25.0824</v>
      </c>
      <c r="L74" s="468"/>
      <c r="M74" s="469"/>
    </row>
    <row r="75" spans="1:14" s="11" customFormat="1" ht="15" customHeight="1" outlineLevel="1" x14ac:dyDescent="0.25">
      <c r="A75" s="29"/>
      <c r="B75" s="269"/>
      <c r="C75" s="29"/>
      <c r="D75" s="31"/>
      <c r="E75" s="31"/>
      <c r="F75" s="31"/>
      <c r="G75" s="465"/>
      <c r="H75" s="466"/>
      <c r="I75" s="466"/>
      <c r="J75" s="467">
        <f t="shared" si="17"/>
        <v>0</v>
      </c>
      <c r="K75" s="467">
        <f t="shared" si="18"/>
        <v>0</v>
      </c>
      <c r="L75" s="468"/>
      <c r="M75" s="469"/>
    </row>
    <row r="76" spans="1:14" s="11" customFormat="1" ht="15" customHeight="1" x14ac:dyDescent="0.25">
      <c r="A76" s="477">
        <v>7</v>
      </c>
      <c r="B76" s="476" t="s">
        <v>430</v>
      </c>
      <c r="C76" s="477"/>
      <c r="D76" s="477"/>
      <c r="E76" s="477"/>
      <c r="F76" s="477"/>
      <c r="G76" s="477"/>
      <c r="H76" s="477"/>
      <c r="I76" s="477"/>
      <c r="J76" s="477"/>
      <c r="K76" s="477"/>
      <c r="L76" s="476"/>
      <c r="M76" s="477"/>
      <c r="N76" s="8"/>
    </row>
    <row r="77" spans="1:14" s="11" customFormat="1" ht="15" customHeight="1" outlineLevel="1" x14ac:dyDescent="0.25">
      <c r="A77" s="29"/>
      <c r="B77" s="269" t="s">
        <v>521</v>
      </c>
      <c r="C77" s="29" t="s">
        <v>19</v>
      </c>
      <c r="D77" s="31"/>
      <c r="E77" s="31">
        <v>0.01</v>
      </c>
      <c r="F77" s="31">
        <f t="shared" ref="F77:F85" si="22">(D77*E77)+D77</f>
        <v>0</v>
      </c>
      <c r="G77" s="465">
        <v>350</v>
      </c>
      <c r="H77" s="466">
        <f t="shared" ref="H77:H79" si="23">G77*F77</f>
        <v>0</v>
      </c>
      <c r="I77" s="466">
        <f>G77*0.3</f>
        <v>105</v>
      </c>
      <c r="J77" s="467">
        <f t="shared" ref="J77:J79" si="24">I77*F77</f>
        <v>0</v>
      </c>
      <c r="K77" s="467">
        <f t="shared" ref="K77:K79" si="25">H77+J77</f>
        <v>0</v>
      </c>
      <c r="L77" s="468"/>
      <c r="M77" s="469"/>
    </row>
    <row r="78" spans="1:14" s="11" customFormat="1" ht="15" customHeight="1" outlineLevel="1" x14ac:dyDescent="0.25">
      <c r="A78" s="29"/>
      <c r="B78" s="269" t="s">
        <v>522</v>
      </c>
      <c r="C78" s="29" t="s">
        <v>19</v>
      </c>
      <c r="D78" s="31"/>
      <c r="E78" s="31">
        <v>0.01</v>
      </c>
      <c r="F78" s="31">
        <f t="shared" si="22"/>
        <v>0</v>
      </c>
      <c r="G78" s="465">
        <v>5000</v>
      </c>
      <c r="H78" s="466">
        <f t="shared" si="23"/>
        <v>0</v>
      </c>
      <c r="I78" s="466">
        <f>G78*0.3</f>
        <v>1500</v>
      </c>
      <c r="J78" s="467">
        <f t="shared" si="24"/>
        <v>0</v>
      </c>
      <c r="K78" s="467">
        <f t="shared" si="25"/>
        <v>0</v>
      </c>
      <c r="L78" s="468"/>
      <c r="M78" s="469"/>
    </row>
    <row r="79" spans="1:14" s="11" customFormat="1" ht="15" customHeight="1" outlineLevel="1" x14ac:dyDescent="0.25">
      <c r="A79" s="29"/>
      <c r="B79" s="269" t="s">
        <v>523</v>
      </c>
      <c r="C79" s="29" t="s">
        <v>19</v>
      </c>
      <c r="D79" s="31">
        <f>'Doors &amp; Windows Schedule'!D32</f>
        <v>5</v>
      </c>
      <c r="E79" s="31">
        <v>0.01</v>
      </c>
      <c r="F79" s="31">
        <f t="shared" si="22"/>
        <v>5.05</v>
      </c>
      <c r="G79" s="465">
        <v>500</v>
      </c>
      <c r="H79" s="466">
        <f t="shared" si="23"/>
        <v>2525</v>
      </c>
      <c r="I79" s="466">
        <f>G79*0.3</f>
        <v>150</v>
      </c>
      <c r="J79" s="467">
        <f t="shared" si="24"/>
        <v>757.5</v>
      </c>
      <c r="K79" s="467">
        <f t="shared" si="25"/>
        <v>3282.5</v>
      </c>
      <c r="L79" s="468"/>
      <c r="M79" s="469"/>
    </row>
    <row r="80" spans="1:14" s="11" customFormat="1" ht="15" customHeight="1" outlineLevel="1" x14ac:dyDescent="0.25">
      <c r="A80" s="29"/>
      <c r="B80" s="269"/>
      <c r="C80" s="29"/>
      <c r="D80" s="31">
        <f>D79</f>
        <v>5</v>
      </c>
      <c r="E80" s="31"/>
      <c r="F80" s="31"/>
      <c r="G80" s="465"/>
      <c r="H80" s="466"/>
      <c r="I80" s="466"/>
      <c r="J80" s="467"/>
      <c r="K80" s="467"/>
      <c r="L80" s="468"/>
      <c r="M80" s="469"/>
    </row>
    <row r="81" spans="1:14" s="11" customFormat="1" ht="21" outlineLevel="1" x14ac:dyDescent="0.25">
      <c r="A81" s="29"/>
      <c r="B81" s="33" t="s">
        <v>587</v>
      </c>
      <c r="C81" s="29" t="s">
        <v>19</v>
      </c>
      <c r="D81" s="31">
        <f>D80*20</f>
        <v>100</v>
      </c>
      <c r="E81" s="31">
        <v>0.05</v>
      </c>
      <c r="F81" s="31">
        <f t="shared" si="22"/>
        <v>105</v>
      </c>
      <c r="G81" s="465">
        <v>0.29859999999999998</v>
      </c>
      <c r="H81" s="466">
        <f t="shared" ref="H81:H85" si="26">G81*F81</f>
        <v>31.352999999999998</v>
      </c>
      <c r="I81" s="466"/>
      <c r="J81" s="467">
        <f t="shared" ref="J81:J85" si="27">I81*F81</f>
        <v>0</v>
      </c>
      <c r="K81" s="467">
        <f t="shared" ref="K81:K85" si="28">H81+J81</f>
        <v>31.352999999999998</v>
      </c>
      <c r="L81" s="468"/>
      <c r="M81" s="469"/>
    </row>
    <row r="82" spans="1:14" s="11" customFormat="1" ht="21" outlineLevel="1" x14ac:dyDescent="0.25">
      <c r="A82" s="29"/>
      <c r="B82" s="33" t="s">
        <v>587</v>
      </c>
      <c r="C82" s="29" t="s">
        <v>19</v>
      </c>
      <c r="D82" s="31">
        <f>D81</f>
        <v>100</v>
      </c>
      <c r="E82" s="31">
        <v>0.05</v>
      </c>
      <c r="F82" s="31">
        <f t="shared" si="22"/>
        <v>105</v>
      </c>
      <c r="G82" s="465">
        <v>0.29859999999999998</v>
      </c>
      <c r="H82" s="466">
        <f t="shared" si="26"/>
        <v>31.352999999999998</v>
      </c>
      <c r="I82" s="466"/>
      <c r="J82" s="467">
        <f t="shared" si="27"/>
        <v>0</v>
      </c>
      <c r="K82" s="467">
        <f t="shared" si="28"/>
        <v>31.352999999999998</v>
      </c>
      <c r="L82" s="468"/>
      <c r="M82" s="469"/>
    </row>
    <row r="83" spans="1:14" s="11" customFormat="1" ht="21" outlineLevel="1" x14ac:dyDescent="0.25">
      <c r="A83" s="29"/>
      <c r="B83" s="33" t="s">
        <v>583</v>
      </c>
      <c r="C83" s="29" t="s">
        <v>483</v>
      </c>
      <c r="D83" s="31">
        <f>'Doors &amp; Windows Schedule'!M34</f>
        <v>0</v>
      </c>
      <c r="E83" s="31">
        <v>0.05</v>
      </c>
      <c r="F83" s="31">
        <f t="shared" si="22"/>
        <v>0</v>
      </c>
      <c r="G83" s="465">
        <v>0.49</v>
      </c>
      <c r="H83" s="466">
        <f t="shared" si="26"/>
        <v>0</v>
      </c>
      <c r="I83" s="466"/>
      <c r="J83" s="467">
        <f t="shared" si="27"/>
        <v>0</v>
      </c>
      <c r="K83" s="467">
        <f t="shared" si="28"/>
        <v>0</v>
      </c>
      <c r="L83" s="468"/>
      <c r="M83" s="469"/>
    </row>
    <row r="84" spans="1:14" s="11" customFormat="1" ht="21" outlineLevel="1" x14ac:dyDescent="0.25">
      <c r="A84" s="29"/>
      <c r="B84" s="33" t="s">
        <v>582</v>
      </c>
      <c r="C84" s="29" t="s">
        <v>19</v>
      </c>
      <c r="D84" s="31">
        <f>D80*3</f>
        <v>15</v>
      </c>
      <c r="E84" s="31">
        <v>0.05</v>
      </c>
      <c r="F84" s="31">
        <f t="shared" si="22"/>
        <v>15.75</v>
      </c>
      <c r="G84" s="465">
        <v>17.68</v>
      </c>
      <c r="H84" s="466">
        <f t="shared" si="26"/>
        <v>278.45999999999998</v>
      </c>
      <c r="I84" s="466"/>
      <c r="J84" s="467">
        <f t="shared" si="27"/>
        <v>0</v>
      </c>
      <c r="K84" s="467">
        <f t="shared" si="28"/>
        <v>278.45999999999998</v>
      </c>
      <c r="L84" s="468"/>
      <c r="M84" s="469"/>
    </row>
    <row r="85" spans="1:14" s="11" customFormat="1" ht="21" outlineLevel="1" x14ac:dyDescent="0.25">
      <c r="A85" s="29"/>
      <c r="B85" s="33" t="s">
        <v>588</v>
      </c>
      <c r="C85" s="29" t="s">
        <v>538</v>
      </c>
      <c r="D85" s="31">
        <f>D80*2</f>
        <v>10</v>
      </c>
      <c r="E85" s="31">
        <v>0.05</v>
      </c>
      <c r="F85" s="31">
        <f t="shared" si="22"/>
        <v>10.5</v>
      </c>
      <c r="G85" s="465">
        <v>73.25</v>
      </c>
      <c r="H85" s="466">
        <f t="shared" si="26"/>
        <v>769.125</v>
      </c>
      <c r="I85" s="466"/>
      <c r="J85" s="467">
        <f t="shared" si="27"/>
        <v>0</v>
      </c>
      <c r="K85" s="467">
        <f t="shared" si="28"/>
        <v>769.125</v>
      </c>
      <c r="L85" s="468"/>
      <c r="M85" s="469"/>
    </row>
    <row r="86" spans="1:14" s="11" customFormat="1" ht="15" customHeight="1" outlineLevel="1" x14ac:dyDescent="0.25">
      <c r="A86" s="29"/>
      <c r="B86" s="33"/>
      <c r="C86" s="29"/>
      <c r="D86" s="31"/>
      <c r="E86" s="31"/>
      <c r="F86" s="31"/>
      <c r="G86" s="465"/>
      <c r="H86" s="466"/>
      <c r="I86" s="466"/>
      <c r="J86" s="467"/>
      <c r="K86" s="467"/>
      <c r="L86" s="468"/>
      <c r="M86" s="469"/>
    </row>
    <row r="87" spans="1:14" s="11" customFormat="1" ht="15" customHeight="1" x14ac:dyDescent="0.25">
      <c r="A87" s="477">
        <v>8</v>
      </c>
      <c r="B87" s="476" t="s">
        <v>545</v>
      </c>
      <c r="C87" s="477"/>
      <c r="D87" s="477"/>
      <c r="E87" s="477"/>
      <c r="F87" s="477"/>
      <c r="G87" s="477"/>
      <c r="H87" s="477"/>
      <c r="I87" s="477"/>
      <c r="J87" s="477"/>
      <c r="K87" s="477"/>
      <c r="L87" s="476"/>
      <c r="M87" s="477"/>
      <c r="N87" s="8"/>
    </row>
    <row r="88" spans="1:14" s="11" customFormat="1" ht="15" customHeight="1" outlineLevel="1" x14ac:dyDescent="0.25">
      <c r="A88" s="29"/>
      <c r="B88" s="269" t="s">
        <v>543</v>
      </c>
      <c r="C88" s="29" t="s">
        <v>368</v>
      </c>
      <c r="D88" s="31">
        <f>+SUM('Take off_Restroom &amp; ELec room'!I190:I193)</f>
        <v>936.24305555555554</v>
      </c>
      <c r="E88" s="31">
        <v>0.25</v>
      </c>
      <c r="F88" s="31">
        <f t="shared" ref="F88:F101" si="29">(D88*E88)+D88</f>
        <v>1170.3038194444443</v>
      </c>
      <c r="G88" s="465">
        <v>5</v>
      </c>
      <c r="H88" s="466">
        <f t="shared" ref="H88:H101" si="30">G88*F88</f>
        <v>5851.5190972222217</v>
      </c>
      <c r="I88" s="466">
        <v>1.5</v>
      </c>
      <c r="J88" s="467">
        <f t="shared" ref="J88:J101" si="31">I88*F88</f>
        <v>1755.4557291666665</v>
      </c>
      <c r="K88" s="467">
        <f t="shared" ref="K88:K101" si="32">H88+J88</f>
        <v>7606.9748263888887</v>
      </c>
      <c r="L88" s="468"/>
      <c r="M88" s="469"/>
    </row>
    <row r="89" spans="1:14" s="11" customFormat="1" ht="15" customHeight="1" outlineLevel="1" x14ac:dyDescent="0.25">
      <c r="A89" s="29"/>
      <c r="B89" s="269" t="s">
        <v>544</v>
      </c>
      <c r="C89" s="29" t="s">
        <v>368</v>
      </c>
      <c r="D89" s="31"/>
      <c r="E89" s="31">
        <v>0.25</v>
      </c>
      <c r="F89" s="31">
        <f t="shared" si="29"/>
        <v>0</v>
      </c>
      <c r="G89" s="465">
        <v>1.47</v>
      </c>
      <c r="H89" s="466">
        <f t="shared" si="30"/>
        <v>0</v>
      </c>
      <c r="I89" s="466">
        <v>1.8</v>
      </c>
      <c r="J89" s="467">
        <f t="shared" si="31"/>
        <v>0</v>
      </c>
      <c r="K89" s="467">
        <f t="shared" si="32"/>
        <v>0</v>
      </c>
      <c r="L89" s="468"/>
      <c r="M89" s="469"/>
    </row>
    <row r="90" spans="1:14" s="11" customFormat="1" ht="15" customHeight="1" outlineLevel="1" x14ac:dyDescent="0.25">
      <c r="A90" s="29"/>
      <c r="B90" s="269" t="s">
        <v>550</v>
      </c>
      <c r="C90" s="29" t="s">
        <v>368</v>
      </c>
      <c r="D90" s="31">
        <f>SUM('Take off_Restroom &amp; ELec room'!I187:I189)</f>
        <v>182.2486111111111</v>
      </c>
      <c r="E90" s="31">
        <v>0.25</v>
      </c>
      <c r="F90" s="31">
        <f t="shared" si="29"/>
        <v>227.81076388888889</v>
      </c>
      <c r="G90" s="465">
        <v>1.47</v>
      </c>
      <c r="H90" s="466">
        <f t="shared" si="30"/>
        <v>334.88182291666664</v>
      </c>
      <c r="I90" s="466">
        <v>1.8</v>
      </c>
      <c r="J90" s="467">
        <f t="shared" si="31"/>
        <v>410.05937499999999</v>
      </c>
      <c r="K90" s="467">
        <f t="shared" si="32"/>
        <v>744.94119791666662</v>
      </c>
      <c r="L90" s="468"/>
      <c r="M90" s="469"/>
    </row>
    <row r="91" spans="1:14" s="11" customFormat="1" ht="15" customHeight="1" outlineLevel="1" x14ac:dyDescent="0.25">
      <c r="A91" s="29"/>
      <c r="B91" s="269" t="s">
        <v>551</v>
      </c>
      <c r="C91" s="29" t="s">
        <v>19</v>
      </c>
      <c r="D91" s="31">
        <v>25</v>
      </c>
      <c r="E91" s="31">
        <v>0.05</v>
      </c>
      <c r="F91" s="31">
        <f t="shared" si="29"/>
        <v>26.25</v>
      </c>
      <c r="G91" s="465">
        <v>14</v>
      </c>
      <c r="H91" s="466">
        <f t="shared" si="30"/>
        <v>367.5</v>
      </c>
      <c r="I91" s="466">
        <v>1.8</v>
      </c>
      <c r="J91" s="467">
        <f t="shared" si="31"/>
        <v>47.25</v>
      </c>
      <c r="K91" s="467">
        <f t="shared" si="32"/>
        <v>414.75</v>
      </c>
      <c r="L91" s="468"/>
      <c r="M91" s="469"/>
    </row>
    <row r="92" spans="1:14" s="11" customFormat="1" ht="15" customHeight="1" outlineLevel="1" x14ac:dyDescent="0.25">
      <c r="A92" s="29"/>
      <c r="B92" s="269" t="s">
        <v>552</v>
      </c>
      <c r="C92" s="29" t="s">
        <v>19</v>
      </c>
      <c r="D92" s="31"/>
      <c r="E92" s="31">
        <v>0.05</v>
      </c>
      <c r="F92" s="31">
        <f t="shared" si="29"/>
        <v>0</v>
      </c>
      <c r="G92" s="465">
        <v>13.71</v>
      </c>
      <c r="H92" s="466">
        <f t="shared" si="30"/>
        <v>0</v>
      </c>
      <c r="I92" s="466">
        <v>1.8</v>
      </c>
      <c r="J92" s="467">
        <f t="shared" si="31"/>
        <v>0</v>
      </c>
      <c r="K92" s="467">
        <f t="shared" si="32"/>
        <v>0</v>
      </c>
      <c r="L92" s="468"/>
      <c r="M92" s="469"/>
    </row>
    <row r="93" spans="1:14" s="11" customFormat="1" ht="15" customHeight="1" outlineLevel="1" x14ac:dyDescent="0.25">
      <c r="A93" s="29"/>
      <c r="B93" s="269" t="s">
        <v>553</v>
      </c>
      <c r="C93" s="29" t="s">
        <v>19</v>
      </c>
      <c r="D93" s="31"/>
      <c r="E93" s="31">
        <v>0.05</v>
      </c>
      <c r="F93" s="31">
        <f t="shared" si="29"/>
        <v>0</v>
      </c>
      <c r="G93" s="465">
        <v>20</v>
      </c>
      <c r="H93" s="466">
        <f t="shared" si="30"/>
        <v>0</v>
      </c>
      <c r="I93" s="466">
        <v>1.8</v>
      </c>
      <c r="J93" s="467">
        <f t="shared" si="31"/>
        <v>0</v>
      </c>
      <c r="K93" s="467">
        <f t="shared" si="32"/>
        <v>0</v>
      </c>
      <c r="L93" s="468"/>
      <c r="M93" s="469"/>
    </row>
    <row r="94" spans="1:14" s="11" customFormat="1" ht="15" customHeight="1" outlineLevel="1" x14ac:dyDescent="0.25">
      <c r="A94" s="29"/>
      <c r="B94" s="269" t="s">
        <v>554</v>
      </c>
      <c r="C94" s="29" t="s">
        <v>368</v>
      </c>
      <c r="D94" s="31"/>
      <c r="E94" s="31">
        <v>0.25</v>
      </c>
      <c r="F94" s="31">
        <f t="shared" si="29"/>
        <v>0</v>
      </c>
      <c r="G94" s="465">
        <v>4.5</v>
      </c>
      <c r="H94" s="466">
        <f t="shared" si="30"/>
        <v>0</v>
      </c>
      <c r="I94" s="466">
        <v>1.8</v>
      </c>
      <c r="J94" s="467">
        <f t="shared" si="31"/>
        <v>0</v>
      </c>
      <c r="K94" s="467">
        <f t="shared" si="32"/>
        <v>0</v>
      </c>
      <c r="L94" s="468"/>
      <c r="M94" s="469"/>
    </row>
    <row r="95" spans="1:14" s="11" customFormat="1" ht="15" customHeight="1" outlineLevel="1" x14ac:dyDescent="0.25">
      <c r="A95" s="29"/>
      <c r="B95" s="269" t="s">
        <v>555</v>
      </c>
      <c r="C95" s="29" t="s">
        <v>513</v>
      </c>
      <c r="D95" s="31">
        <f>(D88+D89+D90)*1.4/50</f>
        <v>31.31776666666666</v>
      </c>
      <c r="E95" s="31">
        <v>0.05</v>
      </c>
      <c r="F95" s="31">
        <f t="shared" si="29"/>
        <v>32.88365499999999</v>
      </c>
      <c r="G95" s="465">
        <v>0.35</v>
      </c>
      <c r="H95" s="466">
        <f t="shared" si="30"/>
        <v>11.509279249999995</v>
      </c>
      <c r="I95" s="466"/>
      <c r="J95" s="467">
        <f t="shared" si="31"/>
        <v>0</v>
      </c>
      <c r="K95" s="467">
        <f t="shared" si="32"/>
        <v>11.509279249999995</v>
      </c>
      <c r="L95" s="468"/>
      <c r="M95" s="469"/>
    </row>
    <row r="96" spans="1:14" s="11" customFormat="1" ht="15" customHeight="1" outlineLevel="1" x14ac:dyDescent="0.25">
      <c r="A96" s="29"/>
      <c r="B96" s="269" t="s">
        <v>556</v>
      </c>
      <c r="C96" s="29" t="s">
        <v>560</v>
      </c>
      <c r="D96" s="31"/>
      <c r="E96" s="31">
        <v>0</v>
      </c>
      <c r="F96" s="31">
        <f t="shared" si="29"/>
        <v>0</v>
      </c>
      <c r="G96" s="465">
        <v>13.99</v>
      </c>
      <c r="H96" s="466">
        <f t="shared" si="30"/>
        <v>0</v>
      </c>
      <c r="I96" s="466"/>
      <c r="J96" s="467">
        <f t="shared" si="31"/>
        <v>0</v>
      </c>
      <c r="K96" s="467">
        <f t="shared" si="32"/>
        <v>0</v>
      </c>
      <c r="L96" s="468"/>
      <c r="M96" s="469"/>
    </row>
    <row r="97" spans="1:14" s="11" customFormat="1" ht="15" customHeight="1" outlineLevel="1" x14ac:dyDescent="0.25">
      <c r="A97" s="29"/>
      <c r="B97" s="269" t="s">
        <v>557</v>
      </c>
      <c r="C97" s="29" t="s">
        <v>513</v>
      </c>
      <c r="D97" s="31">
        <f>(D88+D89+D90)*0.175</f>
        <v>195.73604166666664</v>
      </c>
      <c r="E97" s="31">
        <v>0.05</v>
      </c>
      <c r="F97" s="31">
        <f t="shared" si="29"/>
        <v>205.52284374999996</v>
      </c>
      <c r="G97" s="465">
        <v>1.28</v>
      </c>
      <c r="H97" s="466">
        <f t="shared" si="30"/>
        <v>263.06923999999998</v>
      </c>
      <c r="I97" s="466"/>
      <c r="J97" s="467">
        <f t="shared" si="31"/>
        <v>0</v>
      </c>
      <c r="K97" s="467">
        <f t="shared" si="32"/>
        <v>263.06923999999998</v>
      </c>
      <c r="L97" s="468"/>
      <c r="M97" s="469"/>
    </row>
    <row r="98" spans="1:14" s="11" customFormat="1" ht="15" customHeight="1" outlineLevel="1" x14ac:dyDescent="0.25">
      <c r="A98" s="29"/>
      <c r="B98" s="269" t="s">
        <v>558</v>
      </c>
      <c r="C98" s="29" t="s">
        <v>19</v>
      </c>
      <c r="D98" s="31">
        <f>(D88+D89+D90)/(100*3)</f>
        <v>3.7283055555555551</v>
      </c>
      <c r="E98" s="31">
        <v>0.05</v>
      </c>
      <c r="F98" s="31">
        <f t="shared" si="29"/>
        <v>3.914720833333333</v>
      </c>
      <c r="G98" s="465">
        <v>27</v>
      </c>
      <c r="H98" s="466">
        <f t="shared" si="30"/>
        <v>105.69746249999999</v>
      </c>
      <c r="I98" s="466"/>
      <c r="J98" s="467">
        <f t="shared" si="31"/>
        <v>0</v>
      </c>
      <c r="K98" s="467">
        <f t="shared" si="32"/>
        <v>105.69746249999999</v>
      </c>
      <c r="L98" s="468"/>
      <c r="M98" s="469"/>
    </row>
    <row r="99" spans="1:14" s="11" customFormat="1" ht="15" customHeight="1" outlineLevel="1" x14ac:dyDescent="0.25">
      <c r="A99" s="29"/>
      <c r="B99" s="269" t="s">
        <v>549</v>
      </c>
      <c r="C99" s="29" t="s">
        <v>483</v>
      </c>
      <c r="D99" s="31"/>
      <c r="E99" s="31">
        <v>0.05</v>
      </c>
      <c r="F99" s="31">
        <f t="shared" si="29"/>
        <v>0</v>
      </c>
      <c r="G99" s="465">
        <v>18.940000000000001</v>
      </c>
      <c r="H99" s="466">
        <f t="shared" si="30"/>
        <v>0</v>
      </c>
      <c r="I99" s="466">
        <v>2</v>
      </c>
      <c r="J99" s="467">
        <f t="shared" si="31"/>
        <v>0</v>
      </c>
      <c r="K99" s="467">
        <f t="shared" si="32"/>
        <v>0</v>
      </c>
      <c r="L99" s="468"/>
      <c r="M99" s="469"/>
    </row>
    <row r="100" spans="1:14" s="11" customFormat="1" ht="15" customHeight="1" outlineLevel="1" x14ac:dyDescent="0.25">
      <c r="A100" s="29"/>
      <c r="B100" s="269" t="s">
        <v>548</v>
      </c>
      <c r="C100" s="29" t="s">
        <v>483</v>
      </c>
      <c r="D100" s="31">
        <f>'Take off_Restroom &amp; ELec room'!I195</f>
        <v>211.76000000000002</v>
      </c>
      <c r="E100" s="31">
        <v>0.05</v>
      </c>
      <c r="F100" s="31">
        <f t="shared" si="29"/>
        <v>222.34800000000001</v>
      </c>
      <c r="G100" s="465">
        <v>18.940000000000001</v>
      </c>
      <c r="H100" s="466">
        <f t="shared" si="30"/>
        <v>4211.2711200000003</v>
      </c>
      <c r="I100" s="466">
        <v>2</v>
      </c>
      <c r="J100" s="467">
        <f t="shared" si="31"/>
        <v>444.69600000000003</v>
      </c>
      <c r="K100" s="467">
        <f t="shared" si="32"/>
        <v>4655.9671200000003</v>
      </c>
      <c r="L100" s="468"/>
      <c r="M100" s="469"/>
    </row>
    <row r="101" spans="1:14" s="11" customFormat="1" ht="15" customHeight="1" outlineLevel="1" x14ac:dyDescent="0.25">
      <c r="A101" s="29"/>
      <c r="B101" s="269" t="s">
        <v>559</v>
      </c>
      <c r="C101" s="29" t="s">
        <v>19</v>
      </c>
      <c r="D101" s="31"/>
      <c r="E101" s="31">
        <v>0.05</v>
      </c>
      <c r="F101" s="31">
        <f t="shared" si="29"/>
        <v>0</v>
      </c>
      <c r="G101" s="465">
        <v>6.48</v>
      </c>
      <c r="H101" s="466">
        <f t="shared" si="30"/>
        <v>0</v>
      </c>
      <c r="I101" s="466">
        <v>0</v>
      </c>
      <c r="J101" s="467">
        <f t="shared" si="31"/>
        <v>0</v>
      </c>
      <c r="K101" s="467">
        <f t="shared" si="32"/>
        <v>0</v>
      </c>
      <c r="L101" s="468"/>
      <c r="M101" s="469"/>
    </row>
    <row r="102" spans="1:14" s="11" customFormat="1" ht="15" customHeight="1" outlineLevel="1" x14ac:dyDescent="0.25">
      <c r="A102" s="29"/>
      <c r="B102" s="269"/>
      <c r="C102" s="29"/>
      <c r="D102" s="31"/>
      <c r="E102" s="31"/>
      <c r="F102" s="31"/>
      <c r="G102" s="465"/>
      <c r="H102" s="466"/>
      <c r="I102" s="466"/>
      <c r="J102" s="467"/>
      <c r="K102" s="467"/>
      <c r="L102" s="468"/>
      <c r="M102" s="469"/>
    </row>
    <row r="103" spans="1:14" ht="15" customHeight="1" x14ac:dyDescent="0.25">
      <c r="A103" s="16"/>
      <c r="B103" s="35" t="s">
        <v>540</v>
      </c>
      <c r="C103" s="16"/>
      <c r="D103" s="31"/>
      <c r="E103" s="31"/>
      <c r="F103" s="31"/>
      <c r="G103" s="465"/>
      <c r="H103" s="466"/>
      <c r="I103" s="466"/>
      <c r="J103" s="467"/>
      <c r="K103" s="467"/>
      <c r="L103" s="472"/>
      <c r="M103" s="473"/>
    </row>
    <row r="104" spans="1:14" ht="15" customHeight="1" x14ac:dyDescent="0.25">
      <c r="A104" s="16"/>
      <c r="B104" s="5" t="s">
        <v>541</v>
      </c>
      <c r="C104" s="29" t="s">
        <v>368</v>
      </c>
      <c r="D104" s="31"/>
      <c r="E104" s="31"/>
      <c r="F104" s="31"/>
      <c r="G104" s="465"/>
      <c r="H104" s="466"/>
      <c r="I104" s="466"/>
      <c r="J104" s="467"/>
      <c r="K104" s="467"/>
      <c r="L104" s="472"/>
      <c r="M104" s="473"/>
    </row>
    <row r="105" spans="1:14" ht="15" customHeight="1" x14ac:dyDescent="0.25">
      <c r="A105" s="16"/>
      <c r="B105" s="5" t="s">
        <v>542</v>
      </c>
      <c r="C105" s="29" t="s">
        <v>368</v>
      </c>
      <c r="D105" s="31"/>
      <c r="E105" s="31"/>
      <c r="F105" s="31"/>
      <c r="G105" s="465"/>
      <c r="H105" s="466"/>
      <c r="I105" s="466"/>
      <c r="J105" s="467"/>
      <c r="K105" s="467"/>
      <c r="L105" s="472"/>
      <c r="M105" s="473"/>
    </row>
    <row r="106" spans="1:14" s="11" customFormat="1" ht="15" customHeight="1" x14ac:dyDescent="0.25">
      <c r="A106" s="477">
        <v>9</v>
      </c>
      <c r="B106" s="476" t="s">
        <v>611</v>
      </c>
      <c r="C106" s="477"/>
      <c r="D106" s="477"/>
      <c r="E106" s="477"/>
      <c r="F106" s="477"/>
      <c r="G106" s="477"/>
      <c r="H106" s="477"/>
      <c r="I106" s="477"/>
      <c r="J106" s="477"/>
      <c r="K106" s="477"/>
      <c r="L106" s="476"/>
      <c r="M106" s="477"/>
      <c r="N106" s="8"/>
    </row>
    <row r="107" spans="1:14" ht="15" customHeight="1" x14ac:dyDescent="0.25">
      <c r="A107" s="16"/>
      <c r="B107" s="269" t="s">
        <v>594</v>
      </c>
      <c r="C107" s="29" t="s">
        <v>605</v>
      </c>
      <c r="D107" s="31">
        <f>'Take off_Restroom &amp; ELec room'!I215+'Take off_Restroom &amp; ELec room'!I223</f>
        <v>3074.1833333333334</v>
      </c>
      <c r="E107" s="31">
        <v>0.05</v>
      </c>
      <c r="F107" s="31">
        <f t="shared" ref="F107:F118" si="33">(D107*E107)+D107</f>
        <v>3227.8924999999999</v>
      </c>
      <c r="G107" s="465">
        <f>45/300</f>
        <v>0.15</v>
      </c>
      <c r="H107" s="466">
        <f t="shared" ref="H107:H123" si="34">G107*F107</f>
        <v>484.18387499999994</v>
      </c>
      <c r="I107" s="466">
        <v>0.2</v>
      </c>
      <c r="J107" s="467">
        <f t="shared" ref="J107:J118" si="35">I107*F107</f>
        <v>645.57850000000008</v>
      </c>
      <c r="K107" s="467">
        <f t="shared" ref="K107:K118" si="36">H107+J107</f>
        <v>1129.762375</v>
      </c>
      <c r="L107" s="472"/>
      <c r="M107" s="473"/>
    </row>
    <row r="108" spans="1:14" ht="15" customHeight="1" x14ac:dyDescent="0.25">
      <c r="A108" s="16"/>
      <c r="B108" s="269" t="s">
        <v>595</v>
      </c>
      <c r="C108" s="29" t="s">
        <v>606</v>
      </c>
      <c r="D108" s="31">
        <f>(50/500)*D107</f>
        <v>307.41833333333335</v>
      </c>
      <c r="E108" s="31">
        <v>0.05</v>
      </c>
      <c r="F108" s="31">
        <f t="shared" si="33"/>
        <v>322.78925000000004</v>
      </c>
      <c r="G108" s="465">
        <v>0.26500000000000001</v>
      </c>
      <c r="H108" s="466">
        <f t="shared" si="34"/>
        <v>85.539151250000018</v>
      </c>
      <c r="I108" s="466">
        <v>5.8031588077763527E-2</v>
      </c>
      <c r="J108" s="467">
        <f t="shared" si="35"/>
        <v>18.731972791930232</v>
      </c>
      <c r="K108" s="467">
        <f t="shared" si="36"/>
        <v>104.27112404193025</v>
      </c>
      <c r="L108" s="472"/>
      <c r="M108" s="473"/>
    </row>
    <row r="109" spans="1:14" ht="15" customHeight="1" x14ac:dyDescent="0.25">
      <c r="A109" s="16"/>
      <c r="B109" s="269" t="s">
        <v>596</v>
      </c>
      <c r="C109" s="29" t="s">
        <v>605</v>
      </c>
      <c r="D109" s="31">
        <f>D107</f>
        <v>3074.1833333333334</v>
      </c>
      <c r="E109" s="31">
        <v>0.05</v>
      </c>
      <c r="F109" s="31">
        <f t="shared" si="33"/>
        <v>3227.8924999999999</v>
      </c>
      <c r="G109" s="465">
        <v>8.9</v>
      </c>
      <c r="H109" s="466">
        <f t="shared" si="34"/>
        <v>28728.24325</v>
      </c>
      <c r="I109" s="466">
        <v>5.8031588077763527E-2</v>
      </c>
      <c r="J109" s="467">
        <f t="shared" si="35"/>
        <v>187.3197279193023</v>
      </c>
      <c r="K109" s="467">
        <f t="shared" si="36"/>
        <v>28915.5629779193</v>
      </c>
      <c r="L109" s="472"/>
      <c r="M109" s="473"/>
    </row>
    <row r="110" spans="1:14" ht="15" customHeight="1" x14ac:dyDescent="0.25">
      <c r="A110" s="16"/>
      <c r="B110" s="269" t="s">
        <v>597</v>
      </c>
      <c r="C110" s="29" t="s">
        <v>605</v>
      </c>
      <c r="D110" s="31">
        <f>D109</f>
        <v>3074.1833333333334</v>
      </c>
      <c r="E110" s="31">
        <v>0.05</v>
      </c>
      <c r="F110" s="31">
        <f t="shared" si="33"/>
        <v>3227.8924999999999</v>
      </c>
      <c r="G110" s="465">
        <v>9.25</v>
      </c>
      <c r="H110" s="466">
        <f t="shared" si="34"/>
        <v>29858.005624999998</v>
      </c>
      <c r="I110" s="466">
        <v>9.2850540924421646E-2</v>
      </c>
      <c r="J110" s="467">
        <f t="shared" si="35"/>
        <v>299.71156467088372</v>
      </c>
      <c r="K110" s="467">
        <f t="shared" si="36"/>
        <v>30157.717189670882</v>
      </c>
      <c r="L110" s="472"/>
      <c r="M110" s="473"/>
    </row>
    <row r="111" spans="1:14" s="11" customFormat="1" ht="15" customHeight="1" x14ac:dyDescent="0.25">
      <c r="A111" s="477">
        <v>10</v>
      </c>
      <c r="B111" s="476" t="s">
        <v>610</v>
      </c>
      <c r="C111" s="477"/>
      <c r="D111" s="477"/>
      <c r="E111" s="477"/>
      <c r="F111" s="477">
        <f t="shared" si="33"/>
        <v>0</v>
      </c>
      <c r="G111" s="477"/>
      <c r="H111" s="477">
        <f t="shared" si="34"/>
        <v>0</v>
      </c>
      <c r="I111" s="477"/>
      <c r="J111" s="477">
        <f t="shared" si="35"/>
        <v>0</v>
      </c>
      <c r="K111" s="477">
        <f t="shared" si="36"/>
        <v>0</v>
      </c>
      <c r="L111" s="476"/>
      <c r="M111" s="477"/>
      <c r="N111" s="8"/>
    </row>
    <row r="112" spans="1:14" ht="15" customHeight="1" x14ac:dyDescent="0.25">
      <c r="A112" s="16"/>
      <c r="B112" s="269" t="s">
        <v>598</v>
      </c>
      <c r="C112" s="29" t="s">
        <v>607</v>
      </c>
      <c r="D112" s="31">
        <f>'Take off_Restroom &amp; ELec room'!I215</f>
        <v>837.2</v>
      </c>
      <c r="E112" s="31">
        <v>0.01</v>
      </c>
      <c r="F112" s="31">
        <f t="shared" si="33"/>
        <v>845.572</v>
      </c>
      <c r="G112" s="465">
        <v>0</v>
      </c>
      <c r="H112" s="466">
        <f t="shared" si="34"/>
        <v>0</v>
      </c>
      <c r="I112" s="466">
        <v>3</v>
      </c>
      <c r="J112" s="467">
        <f t="shared" si="35"/>
        <v>2536.7159999999999</v>
      </c>
      <c r="K112" s="467">
        <f t="shared" si="36"/>
        <v>2536.7159999999999</v>
      </c>
      <c r="L112" s="472"/>
      <c r="M112" s="473"/>
    </row>
    <row r="113" spans="1:14" ht="15" customHeight="1" x14ac:dyDescent="0.25">
      <c r="A113" s="16"/>
      <c r="B113" s="269" t="s">
        <v>599</v>
      </c>
      <c r="C113" s="29" t="s">
        <v>608</v>
      </c>
      <c r="D113" s="31"/>
      <c r="E113" s="31">
        <v>0.05</v>
      </c>
      <c r="F113" s="31">
        <f t="shared" si="33"/>
        <v>0</v>
      </c>
      <c r="G113" s="465">
        <v>6.0579999999999998</v>
      </c>
      <c r="H113" s="466">
        <f t="shared" si="34"/>
        <v>0</v>
      </c>
      <c r="I113" s="466">
        <v>0.1</v>
      </c>
      <c r="J113" s="467">
        <f t="shared" si="35"/>
        <v>0</v>
      </c>
      <c r="K113" s="467">
        <f t="shared" si="36"/>
        <v>0</v>
      </c>
      <c r="L113" s="472"/>
      <c r="M113" s="473"/>
    </row>
    <row r="114" spans="1:14" ht="15" customHeight="1" x14ac:dyDescent="0.25">
      <c r="A114" s="16"/>
      <c r="B114" s="269" t="s">
        <v>600</v>
      </c>
      <c r="C114" s="29" t="s">
        <v>608</v>
      </c>
      <c r="D114" s="31"/>
      <c r="E114" s="31">
        <v>0.05</v>
      </c>
      <c r="F114" s="31">
        <f t="shared" si="33"/>
        <v>0</v>
      </c>
      <c r="G114" s="465">
        <v>22.23</v>
      </c>
      <c r="H114" s="466">
        <f t="shared" si="34"/>
        <v>0</v>
      </c>
      <c r="I114" s="466">
        <v>0.33</v>
      </c>
      <c r="J114" s="467">
        <f t="shared" si="35"/>
        <v>0</v>
      </c>
      <c r="K114" s="467">
        <f t="shared" si="36"/>
        <v>0</v>
      </c>
      <c r="L114" s="472"/>
      <c r="M114" s="473"/>
    </row>
    <row r="115" spans="1:14" ht="15" customHeight="1" x14ac:dyDescent="0.25">
      <c r="A115" s="16"/>
      <c r="B115" s="269" t="s">
        <v>601</v>
      </c>
      <c r="C115" s="29" t="s">
        <v>19</v>
      </c>
      <c r="D115" s="31"/>
      <c r="E115" s="31">
        <v>0.05</v>
      </c>
      <c r="F115" s="31">
        <f t="shared" si="33"/>
        <v>0</v>
      </c>
      <c r="G115" s="465">
        <v>6.42</v>
      </c>
      <c r="H115" s="466">
        <f t="shared" si="34"/>
        <v>0</v>
      </c>
      <c r="I115" s="466">
        <f>G115*0.4</f>
        <v>2.5680000000000001</v>
      </c>
      <c r="J115" s="467">
        <f t="shared" si="35"/>
        <v>0</v>
      </c>
      <c r="K115" s="467">
        <f t="shared" si="36"/>
        <v>0</v>
      </c>
      <c r="L115" s="472"/>
      <c r="M115" s="473"/>
    </row>
    <row r="116" spans="1:14" ht="15" customHeight="1" x14ac:dyDescent="0.25">
      <c r="A116" s="16"/>
      <c r="B116" s="269" t="s">
        <v>602</v>
      </c>
      <c r="C116" s="29" t="s">
        <v>483</v>
      </c>
      <c r="D116" s="31"/>
      <c r="E116" s="31">
        <v>0.05</v>
      </c>
      <c r="F116" s="31">
        <f t="shared" si="33"/>
        <v>0</v>
      </c>
      <c r="G116" s="465">
        <v>0.27</v>
      </c>
      <c r="H116" s="466">
        <f t="shared" si="34"/>
        <v>0</v>
      </c>
      <c r="I116" s="466">
        <f>G116*0.4</f>
        <v>0.10800000000000001</v>
      </c>
      <c r="J116" s="467">
        <f t="shared" si="35"/>
        <v>0</v>
      </c>
      <c r="K116" s="467">
        <f t="shared" si="36"/>
        <v>0</v>
      </c>
      <c r="L116" s="472"/>
      <c r="M116" s="473"/>
    </row>
    <row r="117" spans="1:14" ht="15" customHeight="1" x14ac:dyDescent="0.25">
      <c r="A117" s="16"/>
      <c r="B117" s="269" t="s">
        <v>603</v>
      </c>
      <c r="C117" s="29" t="s">
        <v>609</v>
      </c>
      <c r="D117" s="31"/>
      <c r="E117" s="31">
        <v>0.05</v>
      </c>
      <c r="F117" s="31">
        <f t="shared" si="33"/>
        <v>0</v>
      </c>
      <c r="G117" s="465">
        <v>59.5</v>
      </c>
      <c r="H117" s="466">
        <f t="shared" si="34"/>
        <v>0</v>
      </c>
      <c r="I117" s="466">
        <f>G117*0.4</f>
        <v>23.8</v>
      </c>
      <c r="J117" s="467">
        <f t="shared" si="35"/>
        <v>0</v>
      </c>
      <c r="K117" s="467">
        <f t="shared" si="36"/>
        <v>0</v>
      </c>
      <c r="L117" s="472"/>
      <c r="M117" s="473"/>
    </row>
    <row r="118" spans="1:14" ht="15" customHeight="1" x14ac:dyDescent="0.25">
      <c r="A118" s="16"/>
      <c r="B118" s="269" t="s">
        <v>604</v>
      </c>
      <c r="C118" s="29" t="s">
        <v>560</v>
      </c>
      <c r="D118" s="31"/>
      <c r="E118" s="31">
        <v>0.05</v>
      </c>
      <c r="F118" s="31">
        <f t="shared" si="33"/>
        <v>0</v>
      </c>
      <c r="G118" s="465">
        <v>25.8</v>
      </c>
      <c r="H118" s="466">
        <f t="shared" si="34"/>
        <v>0</v>
      </c>
      <c r="I118" s="466">
        <f>G118*0.4</f>
        <v>10.32</v>
      </c>
      <c r="J118" s="467">
        <f t="shared" si="35"/>
        <v>0</v>
      </c>
      <c r="K118" s="467">
        <f t="shared" si="36"/>
        <v>0</v>
      </c>
      <c r="L118" s="472"/>
      <c r="M118" s="473"/>
    </row>
    <row r="119" spans="1:14" s="11" customFormat="1" ht="15" customHeight="1" x14ac:dyDescent="0.25">
      <c r="A119" s="477">
        <v>11</v>
      </c>
      <c r="B119" s="476" t="s">
        <v>616</v>
      </c>
      <c r="C119" s="477"/>
      <c r="D119" s="477"/>
      <c r="E119" s="477"/>
      <c r="F119" s="477"/>
      <c r="G119" s="477"/>
      <c r="H119" s="477">
        <f t="shared" si="34"/>
        <v>0</v>
      </c>
      <c r="I119" s="477"/>
      <c r="J119" s="477"/>
      <c r="K119" s="477"/>
      <c r="L119" s="476"/>
      <c r="M119" s="477"/>
      <c r="N119" s="8"/>
    </row>
    <row r="120" spans="1:14" ht="15" customHeight="1" x14ac:dyDescent="0.25">
      <c r="A120" s="16"/>
      <c r="B120" s="33" t="s">
        <v>616</v>
      </c>
      <c r="C120" s="29" t="s">
        <v>483</v>
      </c>
      <c r="D120" s="31">
        <f>'Take off_Restroom &amp; ELec room'!I181</f>
        <v>79.333333333333343</v>
      </c>
      <c r="E120" s="31"/>
      <c r="F120" s="31">
        <f t="shared" ref="F120:F123" si="37">(D120*E120)+D120</f>
        <v>79.333333333333343</v>
      </c>
      <c r="G120" s="465"/>
      <c r="H120" s="466">
        <f t="shared" si="34"/>
        <v>0</v>
      </c>
      <c r="I120" s="466"/>
      <c r="J120" s="467">
        <f t="shared" ref="J120:J123" si="38">I120*F120</f>
        <v>0</v>
      </c>
      <c r="K120" s="467">
        <f>H120+J120</f>
        <v>0</v>
      </c>
      <c r="L120" s="472"/>
      <c r="M120" s="473"/>
    </row>
    <row r="121" spans="1:14" ht="15" customHeight="1" x14ac:dyDescent="0.25">
      <c r="A121" s="16"/>
      <c r="B121" s="356" t="s">
        <v>619</v>
      </c>
      <c r="C121" s="29"/>
      <c r="D121" s="31"/>
      <c r="E121" s="31"/>
      <c r="F121" s="31"/>
      <c r="G121" s="465"/>
      <c r="H121" s="466">
        <f t="shared" si="34"/>
        <v>0</v>
      </c>
      <c r="I121" s="466"/>
      <c r="J121" s="467"/>
      <c r="K121" s="467"/>
      <c r="L121" s="472"/>
      <c r="M121" s="473"/>
    </row>
    <row r="122" spans="1:14" ht="15" customHeight="1" x14ac:dyDescent="0.25">
      <c r="A122" s="16"/>
      <c r="B122" s="33" t="s">
        <v>617</v>
      </c>
      <c r="C122" s="29" t="s">
        <v>27</v>
      </c>
      <c r="D122" s="31"/>
      <c r="E122" s="31"/>
      <c r="F122" s="31">
        <f t="shared" si="37"/>
        <v>0</v>
      </c>
      <c r="G122" s="465"/>
      <c r="H122" s="466">
        <f t="shared" si="34"/>
        <v>0</v>
      </c>
      <c r="I122" s="466"/>
      <c r="J122" s="467">
        <f t="shared" si="38"/>
        <v>0</v>
      </c>
      <c r="K122" s="467">
        <f>H122+J122</f>
        <v>0</v>
      </c>
      <c r="L122" s="472"/>
      <c r="M122" s="473"/>
    </row>
    <row r="123" spans="1:14" ht="15" customHeight="1" x14ac:dyDescent="0.25">
      <c r="A123" s="16"/>
      <c r="B123" s="33" t="s">
        <v>618</v>
      </c>
      <c r="C123" s="29" t="s">
        <v>27</v>
      </c>
      <c r="D123" s="31"/>
      <c r="E123" s="31"/>
      <c r="F123" s="31">
        <f t="shared" si="37"/>
        <v>0</v>
      </c>
      <c r="G123" s="465"/>
      <c r="H123" s="466">
        <f t="shared" si="34"/>
        <v>0</v>
      </c>
      <c r="I123" s="466"/>
      <c r="J123" s="467">
        <f t="shared" si="38"/>
        <v>0</v>
      </c>
      <c r="K123" s="467">
        <f t="shared" ref="K123" si="39">H123+J123</f>
        <v>0</v>
      </c>
      <c r="L123" s="472"/>
      <c r="M123" s="473"/>
    </row>
    <row r="124" spans="1:14" ht="15" customHeight="1" x14ac:dyDescent="0.25">
      <c r="A124" s="16"/>
      <c r="B124" s="33"/>
      <c r="C124" s="29"/>
      <c r="D124" s="31"/>
      <c r="E124" s="31"/>
      <c r="F124" s="31"/>
      <c r="G124" s="465"/>
      <c r="H124" s="466"/>
      <c r="I124" s="466"/>
      <c r="J124" s="467"/>
      <c r="K124" s="467"/>
      <c r="L124" s="472"/>
      <c r="M124" s="473"/>
    </row>
    <row r="125" spans="1:14" s="11" customFormat="1" ht="15" customHeight="1" x14ac:dyDescent="0.25">
      <c r="A125" s="477">
        <v>12</v>
      </c>
      <c r="B125" s="476" t="s">
        <v>620</v>
      </c>
      <c r="C125" s="477"/>
      <c r="D125" s="477"/>
      <c r="E125" s="477"/>
      <c r="F125" s="477"/>
      <c r="G125" s="477"/>
      <c r="H125" s="477"/>
      <c r="I125" s="477"/>
      <c r="J125" s="477"/>
      <c r="K125" s="477"/>
      <c r="L125" s="476"/>
      <c r="M125" s="477"/>
      <c r="N125" s="8"/>
    </row>
    <row r="126" spans="1:14" ht="15" customHeight="1" x14ac:dyDescent="0.25">
      <c r="A126" s="16"/>
      <c r="B126" s="269" t="s">
        <v>621</v>
      </c>
      <c r="C126" s="29" t="s">
        <v>27</v>
      </c>
      <c r="D126" s="31">
        <v>7</v>
      </c>
      <c r="E126" s="31"/>
      <c r="F126" s="31">
        <f t="shared" ref="F126:F140" si="40">(D126*E126)+D126</f>
        <v>7</v>
      </c>
      <c r="G126" s="465"/>
      <c r="H126" s="466"/>
      <c r="I126" s="466">
        <v>35</v>
      </c>
      <c r="J126" s="467">
        <f t="shared" ref="J126:J140" si="41">I126*F126</f>
        <v>245</v>
      </c>
      <c r="K126" s="467">
        <f t="shared" ref="K126:K140" si="42">H126+J126</f>
        <v>245</v>
      </c>
      <c r="L126" s="472"/>
      <c r="M126" s="473"/>
    </row>
    <row r="127" spans="1:14" ht="15" customHeight="1" x14ac:dyDescent="0.25">
      <c r="A127" s="16"/>
      <c r="B127" s="269" t="s">
        <v>622</v>
      </c>
      <c r="C127" s="29" t="s">
        <v>27</v>
      </c>
      <c r="D127" s="31">
        <v>2</v>
      </c>
      <c r="E127" s="31"/>
      <c r="F127" s="31">
        <f t="shared" si="40"/>
        <v>2</v>
      </c>
      <c r="G127" s="465"/>
      <c r="H127" s="466"/>
      <c r="I127" s="466">
        <v>350</v>
      </c>
      <c r="J127" s="467">
        <f t="shared" si="41"/>
        <v>700</v>
      </c>
      <c r="K127" s="467">
        <f t="shared" si="42"/>
        <v>700</v>
      </c>
      <c r="L127" s="472"/>
      <c r="M127" s="473"/>
    </row>
    <row r="128" spans="1:14" ht="15" customHeight="1" x14ac:dyDescent="0.25">
      <c r="A128" s="16"/>
      <c r="B128" s="269" t="s">
        <v>622</v>
      </c>
      <c r="C128" s="29" t="s">
        <v>27</v>
      </c>
      <c r="D128" s="31">
        <v>2</v>
      </c>
      <c r="E128" s="31"/>
      <c r="F128" s="31">
        <f t="shared" si="40"/>
        <v>2</v>
      </c>
      <c r="G128" s="465"/>
      <c r="H128" s="466"/>
      <c r="I128" s="466">
        <v>450</v>
      </c>
      <c r="J128" s="467">
        <f t="shared" si="41"/>
        <v>900</v>
      </c>
      <c r="K128" s="467">
        <f t="shared" si="42"/>
        <v>900</v>
      </c>
      <c r="L128" s="472"/>
      <c r="M128" s="473"/>
    </row>
    <row r="129" spans="1:13" ht="15" customHeight="1" x14ac:dyDescent="0.25">
      <c r="A129" s="16"/>
      <c r="B129" s="269" t="s">
        <v>622</v>
      </c>
      <c r="C129" s="29" t="s">
        <v>27</v>
      </c>
      <c r="D129" s="31">
        <v>2</v>
      </c>
      <c r="E129" s="31"/>
      <c r="F129" s="31">
        <f t="shared" si="40"/>
        <v>2</v>
      </c>
      <c r="G129" s="465"/>
      <c r="H129" s="466"/>
      <c r="I129" s="466">
        <v>400</v>
      </c>
      <c r="J129" s="467">
        <f t="shared" si="41"/>
        <v>800</v>
      </c>
      <c r="K129" s="467">
        <f t="shared" si="42"/>
        <v>800</v>
      </c>
      <c r="L129" s="472"/>
      <c r="M129" s="473"/>
    </row>
    <row r="130" spans="1:13" ht="15" customHeight="1" x14ac:dyDescent="0.25">
      <c r="A130" s="16"/>
      <c r="B130" s="269" t="s">
        <v>621</v>
      </c>
      <c r="C130" s="29" t="s">
        <v>27</v>
      </c>
      <c r="D130" s="31">
        <v>2</v>
      </c>
      <c r="E130" s="31"/>
      <c r="F130" s="31">
        <f t="shared" si="40"/>
        <v>2</v>
      </c>
      <c r="G130" s="465"/>
      <c r="H130" s="466"/>
      <c r="I130" s="466">
        <v>85</v>
      </c>
      <c r="J130" s="467">
        <f t="shared" si="41"/>
        <v>170</v>
      </c>
      <c r="K130" s="467">
        <f t="shared" si="42"/>
        <v>170</v>
      </c>
      <c r="L130" s="472"/>
      <c r="M130" s="473"/>
    </row>
    <row r="131" spans="1:13" ht="15" customHeight="1" x14ac:dyDescent="0.25">
      <c r="A131" s="16"/>
      <c r="B131" s="269" t="s">
        <v>623</v>
      </c>
      <c r="C131" s="29" t="s">
        <v>27</v>
      </c>
      <c r="D131" s="31">
        <v>2</v>
      </c>
      <c r="E131" s="31"/>
      <c r="F131" s="31">
        <f t="shared" si="40"/>
        <v>2</v>
      </c>
      <c r="G131" s="465"/>
      <c r="H131" s="466"/>
      <c r="I131" s="466">
        <v>35</v>
      </c>
      <c r="J131" s="467">
        <f t="shared" si="41"/>
        <v>70</v>
      </c>
      <c r="K131" s="467">
        <f t="shared" si="42"/>
        <v>70</v>
      </c>
      <c r="L131" s="472"/>
      <c r="M131" s="473"/>
    </row>
    <row r="132" spans="1:13" ht="15" customHeight="1" x14ac:dyDescent="0.25">
      <c r="A132" s="16"/>
      <c r="B132" s="269" t="s">
        <v>624</v>
      </c>
      <c r="C132" s="29" t="s">
        <v>27</v>
      </c>
      <c r="D132" s="31">
        <v>2</v>
      </c>
      <c r="E132" s="31"/>
      <c r="F132" s="31">
        <f t="shared" si="40"/>
        <v>2</v>
      </c>
      <c r="G132" s="465"/>
      <c r="H132" s="466"/>
      <c r="I132" s="466">
        <v>350</v>
      </c>
      <c r="J132" s="467">
        <f t="shared" si="41"/>
        <v>700</v>
      </c>
      <c r="K132" s="467">
        <f t="shared" si="42"/>
        <v>700</v>
      </c>
      <c r="L132" s="472"/>
      <c r="M132" s="473"/>
    </row>
    <row r="133" spans="1:13" ht="15" customHeight="1" x14ac:dyDescent="0.25">
      <c r="A133" s="16"/>
      <c r="B133" s="269" t="s">
        <v>624</v>
      </c>
      <c r="C133" s="29" t="s">
        <v>27</v>
      </c>
      <c r="D133" s="31">
        <v>5</v>
      </c>
      <c r="E133" s="31"/>
      <c r="F133" s="31">
        <f t="shared" si="40"/>
        <v>5</v>
      </c>
      <c r="G133" s="465"/>
      <c r="H133" s="466"/>
      <c r="I133" s="466">
        <v>450</v>
      </c>
      <c r="J133" s="467">
        <f t="shared" si="41"/>
        <v>2250</v>
      </c>
      <c r="K133" s="467">
        <f t="shared" si="42"/>
        <v>2250</v>
      </c>
      <c r="L133" s="472"/>
      <c r="M133" s="473"/>
    </row>
    <row r="134" spans="1:13" ht="15" customHeight="1" x14ac:dyDescent="0.25">
      <c r="A134" s="16"/>
      <c r="B134" s="269" t="s">
        <v>623</v>
      </c>
      <c r="C134" s="29" t="s">
        <v>27</v>
      </c>
      <c r="D134" s="31">
        <v>2</v>
      </c>
      <c r="E134" s="31"/>
      <c r="F134" s="31">
        <f t="shared" si="40"/>
        <v>2</v>
      </c>
      <c r="G134" s="465"/>
      <c r="H134" s="466"/>
      <c r="I134" s="466">
        <v>400</v>
      </c>
      <c r="J134" s="467">
        <f t="shared" si="41"/>
        <v>800</v>
      </c>
      <c r="K134" s="467">
        <f t="shared" si="42"/>
        <v>800</v>
      </c>
      <c r="L134" s="472"/>
      <c r="M134" s="473"/>
    </row>
    <row r="135" spans="1:13" ht="15" customHeight="1" x14ac:dyDescent="0.25">
      <c r="A135" s="16"/>
      <c r="B135" s="269" t="s">
        <v>623</v>
      </c>
      <c r="C135" s="29" t="s">
        <v>27</v>
      </c>
      <c r="D135" s="31">
        <v>2</v>
      </c>
      <c r="E135" s="31"/>
      <c r="F135" s="31">
        <f t="shared" si="40"/>
        <v>2</v>
      </c>
      <c r="G135" s="465"/>
      <c r="H135" s="466"/>
      <c r="I135" s="466">
        <v>350</v>
      </c>
      <c r="J135" s="467">
        <f t="shared" si="41"/>
        <v>700</v>
      </c>
      <c r="K135" s="467">
        <f t="shared" si="42"/>
        <v>700</v>
      </c>
      <c r="L135" s="472"/>
      <c r="M135" s="473"/>
    </row>
    <row r="136" spans="1:13" ht="15" customHeight="1" x14ac:dyDescent="0.25">
      <c r="A136" s="16"/>
      <c r="B136" s="269" t="s">
        <v>624</v>
      </c>
      <c r="C136" s="29" t="s">
        <v>27</v>
      </c>
      <c r="D136" s="31">
        <v>2</v>
      </c>
      <c r="E136" s="31"/>
      <c r="F136" s="31">
        <f t="shared" si="40"/>
        <v>2</v>
      </c>
      <c r="G136" s="465"/>
      <c r="H136" s="466"/>
      <c r="I136" s="466">
        <v>300</v>
      </c>
      <c r="J136" s="467">
        <f t="shared" si="41"/>
        <v>600</v>
      </c>
      <c r="K136" s="467">
        <f t="shared" si="42"/>
        <v>600</v>
      </c>
      <c r="L136" s="472"/>
      <c r="M136" s="473"/>
    </row>
    <row r="137" spans="1:13" ht="15" customHeight="1" x14ac:dyDescent="0.25">
      <c r="A137" s="16"/>
      <c r="B137" s="269" t="s">
        <v>624</v>
      </c>
      <c r="C137" s="29" t="s">
        <v>27</v>
      </c>
      <c r="D137" s="31">
        <f>12</f>
        <v>12</v>
      </c>
      <c r="E137" s="31"/>
      <c r="F137" s="31">
        <f t="shared" si="40"/>
        <v>12</v>
      </c>
      <c r="G137" s="465"/>
      <c r="H137" s="466"/>
      <c r="I137" s="466">
        <v>400</v>
      </c>
      <c r="J137" s="467">
        <f t="shared" si="41"/>
        <v>4800</v>
      </c>
      <c r="K137" s="467">
        <f t="shared" si="42"/>
        <v>4800</v>
      </c>
      <c r="L137" s="472"/>
      <c r="M137" s="473"/>
    </row>
    <row r="138" spans="1:13" ht="15" customHeight="1" x14ac:dyDescent="0.25">
      <c r="A138" s="16"/>
      <c r="B138" s="269" t="s">
        <v>624</v>
      </c>
      <c r="C138" s="29" t="s">
        <v>27</v>
      </c>
      <c r="D138" s="31">
        <v>2</v>
      </c>
      <c r="E138" s="31"/>
      <c r="F138" s="31">
        <f t="shared" si="40"/>
        <v>2</v>
      </c>
      <c r="G138" s="465"/>
      <c r="H138" s="466"/>
      <c r="I138" s="466">
        <v>400</v>
      </c>
      <c r="J138" s="467">
        <f t="shared" si="41"/>
        <v>800</v>
      </c>
      <c r="K138" s="467">
        <f t="shared" si="42"/>
        <v>800</v>
      </c>
      <c r="L138" s="472"/>
      <c r="M138" s="473"/>
    </row>
    <row r="139" spans="1:13" ht="15" customHeight="1" x14ac:dyDescent="0.25">
      <c r="A139" s="16"/>
      <c r="B139" s="269" t="s">
        <v>625</v>
      </c>
      <c r="C139" s="29" t="s">
        <v>27</v>
      </c>
      <c r="D139" s="31">
        <v>2</v>
      </c>
      <c r="E139" s="31"/>
      <c r="F139" s="31">
        <f t="shared" si="40"/>
        <v>2</v>
      </c>
      <c r="G139" s="465"/>
      <c r="H139" s="466"/>
      <c r="I139" s="466">
        <v>250</v>
      </c>
      <c r="J139" s="467">
        <f t="shared" si="41"/>
        <v>500</v>
      </c>
      <c r="K139" s="467">
        <f t="shared" si="42"/>
        <v>500</v>
      </c>
      <c r="L139" s="472"/>
      <c r="M139" s="473"/>
    </row>
    <row r="140" spans="1:13" ht="15" customHeight="1" x14ac:dyDescent="0.25">
      <c r="A140" s="16"/>
      <c r="B140" s="269" t="s">
        <v>625</v>
      </c>
      <c r="C140" s="29" t="s">
        <v>27</v>
      </c>
      <c r="D140" s="31">
        <v>2</v>
      </c>
      <c r="E140" s="31"/>
      <c r="F140" s="31">
        <f t="shared" si="40"/>
        <v>2</v>
      </c>
      <c r="G140" s="465"/>
      <c r="H140" s="466"/>
      <c r="I140" s="466">
        <v>125</v>
      </c>
      <c r="J140" s="467">
        <f t="shared" si="41"/>
        <v>250</v>
      </c>
      <c r="K140" s="467">
        <f t="shared" si="42"/>
        <v>250</v>
      </c>
      <c r="L140" s="472"/>
      <c r="M140" s="473"/>
    </row>
    <row r="141" spans="1:13" ht="15" customHeight="1" x14ac:dyDescent="0.25">
      <c r="A141" s="16"/>
      <c r="B141" s="269"/>
      <c r="C141" s="29"/>
      <c r="D141" s="31">
        <f>SUMIF('[1]M-sheet_Restroom &amp; ELec room'!$B:$B,[1]BOQ!$C142,'[1]M-sheet_Restroom &amp; ELec room'!$H:$H)</f>
        <v>0</v>
      </c>
      <c r="E141" s="31"/>
      <c r="F141" s="31"/>
      <c r="G141" s="465"/>
      <c r="H141" s="466"/>
      <c r="I141" s="466"/>
      <c r="J141" s="467"/>
      <c r="K141" s="467"/>
      <c r="L141" s="472"/>
      <c r="M141" s="473"/>
    </row>
    <row r="142" spans="1:13" ht="15" customHeight="1" x14ac:dyDescent="0.25">
      <c r="A142" s="16"/>
      <c r="B142" s="269"/>
      <c r="C142" s="29"/>
      <c r="D142" s="31"/>
      <c r="E142" s="31"/>
      <c r="F142" s="31"/>
      <c r="G142" s="465"/>
      <c r="H142" s="466"/>
      <c r="I142" s="466"/>
      <c r="J142" s="467"/>
      <c r="K142" s="467"/>
      <c r="L142" s="472"/>
      <c r="M142" s="473"/>
    </row>
    <row r="143" spans="1:13" ht="21" x14ac:dyDescent="0.25">
      <c r="A143" s="482"/>
      <c r="B143" s="482"/>
      <c r="C143" s="482"/>
      <c r="D143" s="482"/>
      <c r="E143" s="483"/>
      <c r="F143" s="483"/>
      <c r="G143" s="484"/>
      <c r="H143" s="485"/>
      <c r="I143" s="485"/>
      <c r="J143" s="486"/>
      <c r="K143" s="487">
        <f>SUM(K3:K142)</f>
        <v>203138.80944665422</v>
      </c>
      <c r="L143" s="488"/>
      <c r="M143" s="489"/>
    </row>
  </sheetData>
  <mergeCells count="2">
    <mergeCell ref="G1:H1"/>
    <mergeCell ref="I1:J1"/>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18F40-FA3E-4511-80FD-2BFC59BF5CAB}">
  <dimension ref="A1:AH88"/>
  <sheetViews>
    <sheetView topLeftCell="G59" zoomScale="55" zoomScaleNormal="55" workbookViewId="0">
      <selection activeCell="AG88" sqref="AG88"/>
    </sheetView>
  </sheetViews>
  <sheetFormatPr defaultRowHeight="15" x14ac:dyDescent="0.25"/>
  <cols>
    <col min="3" max="3" width="21.140625" bestFit="1" customWidth="1"/>
    <col min="33" max="33" width="19.85546875" bestFit="1" customWidth="1"/>
  </cols>
  <sheetData>
    <row r="1" spans="1:34" ht="15.75" thickBot="1" x14ac:dyDescent="0.3"/>
    <row r="2" spans="1:34" ht="23.1" customHeight="1" x14ac:dyDescent="0.25">
      <c r="A2" s="195"/>
      <c r="B2" s="512" t="s">
        <v>243</v>
      </c>
      <c r="C2" s="512" t="s">
        <v>244</v>
      </c>
      <c r="D2" s="509" t="s">
        <v>245</v>
      </c>
      <c r="E2" s="509" t="s">
        <v>246</v>
      </c>
      <c r="F2" s="515" t="s">
        <v>247</v>
      </c>
      <c r="G2" s="515" t="s">
        <v>285</v>
      </c>
      <c r="H2" s="518" t="s">
        <v>248</v>
      </c>
      <c r="I2" s="527" t="s">
        <v>249</v>
      </c>
      <c r="J2" s="509" t="s">
        <v>250</v>
      </c>
      <c r="K2" s="524" t="s">
        <v>251</v>
      </c>
      <c r="L2" s="525"/>
      <c r="M2" s="525"/>
      <c r="N2" s="525"/>
      <c r="O2" s="525"/>
      <c r="P2" s="525"/>
      <c r="Q2" s="526"/>
      <c r="R2" s="503" t="s">
        <v>252</v>
      </c>
      <c r="S2" s="504"/>
      <c r="T2" s="504"/>
      <c r="U2" s="505"/>
      <c r="V2" s="509" t="s">
        <v>253</v>
      </c>
      <c r="W2" s="509" t="s">
        <v>254</v>
      </c>
      <c r="X2" s="509" t="s">
        <v>255</v>
      </c>
      <c r="Y2" s="524" t="s">
        <v>256</v>
      </c>
      <c r="Z2" s="525"/>
      <c r="AA2" s="525"/>
      <c r="AB2" s="525"/>
      <c r="AC2" s="525"/>
      <c r="AD2" s="525"/>
      <c r="AE2" s="525"/>
      <c r="AF2" s="526"/>
      <c r="AG2" s="512" t="s">
        <v>6</v>
      </c>
      <c r="AH2" s="195"/>
    </row>
    <row r="3" spans="1:34" x14ac:dyDescent="0.25">
      <c r="A3" s="195"/>
      <c r="B3" s="513"/>
      <c r="C3" s="513"/>
      <c r="D3" s="510"/>
      <c r="E3" s="510"/>
      <c r="F3" s="516"/>
      <c r="G3" s="516"/>
      <c r="H3" s="519"/>
      <c r="I3" s="528"/>
      <c r="J3" s="510"/>
      <c r="K3" s="512" t="s">
        <v>218</v>
      </c>
      <c r="L3" s="512" t="s">
        <v>257</v>
      </c>
      <c r="M3" s="512" t="s">
        <v>258</v>
      </c>
      <c r="N3" s="512" t="s">
        <v>259</v>
      </c>
      <c r="O3" s="512" t="s">
        <v>260</v>
      </c>
      <c r="P3" s="512" t="s">
        <v>261</v>
      </c>
      <c r="Q3" s="512" t="s">
        <v>262</v>
      </c>
      <c r="R3" s="506"/>
      <c r="S3" s="507"/>
      <c r="T3" s="507"/>
      <c r="U3" s="508"/>
      <c r="V3" s="510"/>
      <c r="W3" s="510"/>
      <c r="X3" s="510"/>
      <c r="Y3" s="199">
        <v>3</v>
      </c>
      <c r="Z3" s="199">
        <v>4</v>
      </c>
      <c r="AA3" s="199">
        <v>5</v>
      </c>
      <c r="AB3" s="199">
        <v>6</v>
      </c>
      <c r="AC3" s="199">
        <v>7</v>
      </c>
      <c r="AD3" s="199">
        <v>8</v>
      </c>
      <c r="AE3" s="199">
        <v>9</v>
      </c>
      <c r="AF3" s="199">
        <v>10</v>
      </c>
      <c r="AG3" s="513"/>
      <c r="AH3" s="195"/>
    </row>
    <row r="4" spans="1:34" x14ac:dyDescent="0.25">
      <c r="A4" s="195"/>
      <c r="B4" s="514"/>
      <c r="C4" s="514"/>
      <c r="D4" s="511"/>
      <c r="E4" s="510"/>
      <c r="F4" s="517"/>
      <c r="G4" s="517"/>
      <c r="H4" s="520"/>
      <c r="I4" s="529"/>
      <c r="J4" s="511"/>
      <c r="K4" s="514"/>
      <c r="L4" s="514"/>
      <c r="M4" s="514"/>
      <c r="N4" s="514"/>
      <c r="O4" s="514"/>
      <c r="P4" s="514"/>
      <c r="Q4" s="514"/>
      <c r="R4" s="506"/>
      <c r="S4" s="507"/>
      <c r="T4" s="507"/>
      <c r="U4" s="508"/>
      <c r="V4" s="510"/>
      <c r="W4" s="511"/>
      <c r="X4" s="511"/>
      <c r="Y4" s="199">
        <v>0.376</v>
      </c>
      <c r="Z4" s="199">
        <v>0.66800000000000004</v>
      </c>
      <c r="AA4" s="199">
        <v>1.0429999999999999</v>
      </c>
      <c r="AB4" s="199">
        <v>1.502</v>
      </c>
      <c r="AC4" s="199">
        <v>2.044</v>
      </c>
      <c r="AD4" s="199">
        <v>2.67</v>
      </c>
      <c r="AE4" s="199">
        <v>3.4</v>
      </c>
      <c r="AF4" s="199">
        <v>4.3029999999999999</v>
      </c>
      <c r="AG4" s="514"/>
      <c r="AH4" s="195"/>
    </row>
    <row r="5" spans="1:34" ht="15.75" thickBot="1" x14ac:dyDescent="0.3">
      <c r="A5" s="195"/>
      <c r="B5" s="200" t="s">
        <v>232</v>
      </c>
      <c r="C5" s="199" t="s">
        <v>283</v>
      </c>
      <c r="D5" s="197">
        <v>60</v>
      </c>
      <c r="E5" s="201">
        <v>8</v>
      </c>
      <c r="F5" s="202"/>
      <c r="G5" s="202">
        <f>22*12</f>
        <v>264</v>
      </c>
      <c r="H5" s="202"/>
      <c r="I5" s="202"/>
      <c r="J5" s="202"/>
      <c r="K5" s="199"/>
      <c r="L5" s="199"/>
      <c r="M5" s="199"/>
      <c r="N5" s="199"/>
      <c r="O5" s="199"/>
      <c r="P5" s="199"/>
      <c r="Q5" s="198"/>
      <c r="R5" s="196"/>
      <c r="S5" s="196"/>
      <c r="T5" s="196"/>
      <c r="U5" s="196"/>
      <c r="V5" s="203"/>
      <c r="W5" s="202"/>
      <c r="X5" s="202"/>
      <c r="Y5" s="199"/>
      <c r="Z5" s="199"/>
      <c r="AA5" s="199"/>
      <c r="AB5" s="199"/>
      <c r="AC5" s="199"/>
      <c r="AD5" s="199"/>
      <c r="AE5" s="199"/>
      <c r="AF5" s="199"/>
      <c r="AG5" s="199"/>
      <c r="AH5" s="195"/>
    </row>
    <row r="6" spans="1:34" x14ac:dyDescent="0.25">
      <c r="A6" s="193"/>
      <c r="B6" s="490"/>
      <c r="C6" s="499" t="s">
        <v>265</v>
      </c>
      <c r="D6" s="490">
        <v>5</v>
      </c>
      <c r="E6" s="490">
        <v>0.625</v>
      </c>
      <c r="F6" s="490"/>
      <c r="G6" s="490">
        <f>22*12</f>
        <v>264</v>
      </c>
      <c r="H6" s="490"/>
      <c r="I6" s="490">
        <v>2</v>
      </c>
      <c r="J6" s="490">
        <v>2</v>
      </c>
      <c r="K6" s="490"/>
      <c r="L6" s="490">
        <f>G5-2-2</f>
        <v>260</v>
      </c>
      <c r="M6" s="490"/>
      <c r="N6" s="490"/>
      <c r="O6" s="490"/>
      <c r="P6" s="490"/>
      <c r="Q6" s="490"/>
      <c r="R6" s="213"/>
      <c r="S6" s="502"/>
      <c r="T6" s="502"/>
      <c r="U6" s="214"/>
      <c r="V6" s="490">
        <f>SUM(R6:U10)</f>
        <v>21.666666666666668</v>
      </c>
      <c r="W6" s="490">
        <f>+SUM(K6:Q10)</f>
        <v>260</v>
      </c>
      <c r="X6" s="490">
        <f>(+I6*J6*W6)/12</f>
        <v>86.666666666666671</v>
      </c>
      <c r="Y6" s="490">
        <f t="shared" ref="Y6:Z27" si="0">IF(Y$3=$D6,$X6*Y$4,0)</f>
        <v>0</v>
      </c>
      <c r="Z6" s="490">
        <f t="shared" si="0"/>
        <v>0</v>
      </c>
      <c r="AA6" s="490">
        <f>IF(AA$3=$D6,$X6*AA$4,0)</f>
        <v>90.393333333333331</v>
      </c>
      <c r="AB6" s="490">
        <f t="shared" ref="AB6:AF6" si="1">IF(AB$3=$D6,$X6*AB$4,0)</f>
        <v>0</v>
      </c>
      <c r="AC6" s="490">
        <f t="shared" si="1"/>
        <v>0</v>
      </c>
      <c r="AD6" s="490">
        <f t="shared" si="1"/>
        <v>0</v>
      </c>
      <c r="AE6" s="490">
        <f t="shared" si="1"/>
        <v>0</v>
      </c>
      <c r="AF6" s="490">
        <f t="shared" si="1"/>
        <v>0</v>
      </c>
      <c r="AG6" s="490">
        <f>SUM(Y6:AF6)</f>
        <v>90.393333333333331</v>
      </c>
      <c r="AH6" s="193"/>
    </row>
    <row r="7" spans="1:34" x14ac:dyDescent="0.25">
      <c r="A7" s="193"/>
      <c r="B7" s="491"/>
      <c r="C7" s="500"/>
      <c r="D7" s="491"/>
      <c r="E7" s="491"/>
      <c r="F7" s="491"/>
      <c r="G7" s="491"/>
      <c r="H7" s="491"/>
      <c r="I7" s="491"/>
      <c r="J7" s="491"/>
      <c r="K7" s="491"/>
      <c r="L7" s="491"/>
      <c r="M7" s="491"/>
      <c r="N7" s="491"/>
      <c r="O7" s="491"/>
      <c r="P7" s="491"/>
      <c r="Q7" s="491"/>
      <c r="R7" s="213"/>
      <c r="S7" s="215"/>
      <c r="T7" s="216"/>
      <c r="U7" s="214"/>
      <c r="V7" s="491"/>
      <c r="W7" s="491"/>
      <c r="X7" s="491"/>
      <c r="Y7" s="491"/>
      <c r="Z7" s="491"/>
      <c r="AA7" s="491"/>
      <c r="AB7" s="491"/>
      <c r="AC7" s="491"/>
      <c r="AD7" s="491"/>
      <c r="AE7" s="491"/>
      <c r="AF7" s="491"/>
      <c r="AG7" s="491"/>
      <c r="AH7" s="193"/>
    </row>
    <row r="8" spans="1:34" x14ac:dyDescent="0.25">
      <c r="A8" s="193"/>
      <c r="B8" s="491"/>
      <c r="C8" s="500"/>
      <c r="D8" s="491"/>
      <c r="E8" s="491"/>
      <c r="F8" s="491"/>
      <c r="G8" s="491"/>
      <c r="H8" s="491"/>
      <c r="I8" s="491"/>
      <c r="J8" s="491"/>
      <c r="K8" s="491"/>
      <c r="L8" s="491"/>
      <c r="M8" s="491"/>
      <c r="N8" s="491"/>
      <c r="O8" s="491"/>
      <c r="P8" s="491"/>
      <c r="Q8" s="491"/>
      <c r="R8" s="217"/>
      <c r="S8" s="218"/>
      <c r="T8" s="218"/>
      <c r="U8" s="219"/>
      <c r="V8" s="491"/>
      <c r="W8" s="491"/>
      <c r="X8" s="491"/>
      <c r="Y8" s="491"/>
      <c r="Z8" s="491"/>
      <c r="AA8" s="491"/>
      <c r="AB8" s="491"/>
      <c r="AC8" s="491"/>
      <c r="AD8" s="491"/>
      <c r="AE8" s="491"/>
      <c r="AF8" s="491"/>
      <c r="AG8" s="491"/>
      <c r="AH8" s="193"/>
    </row>
    <row r="9" spans="1:34" ht="15.75" thickBot="1" x14ac:dyDescent="0.3">
      <c r="A9" s="193"/>
      <c r="B9" s="491"/>
      <c r="C9" s="500"/>
      <c r="D9" s="491"/>
      <c r="E9" s="491"/>
      <c r="F9" s="491"/>
      <c r="G9" s="491"/>
      <c r="H9" s="491"/>
      <c r="I9" s="491"/>
      <c r="J9" s="491"/>
      <c r="K9" s="491"/>
      <c r="L9" s="491"/>
      <c r="M9" s="491"/>
      <c r="N9" s="491"/>
      <c r="O9" s="491"/>
      <c r="P9" s="491"/>
      <c r="Q9" s="491"/>
      <c r="R9" s="213"/>
      <c r="S9" s="220"/>
      <c r="T9" s="220"/>
      <c r="U9" s="214"/>
      <c r="V9" s="491"/>
      <c r="W9" s="491"/>
      <c r="X9" s="491"/>
      <c r="Y9" s="491"/>
      <c r="Z9" s="491"/>
      <c r="AA9" s="491"/>
      <c r="AB9" s="491"/>
      <c r="AC9" s="491"/>
      <c r="AD9" s="491"/>
      <c r="AE9" s="491"/>
      <c r="AF9" s="491"/>
      <c r="AG9" s="491"/>
      <c r="AH9" s="193"/>
    </row>
    <row r="10" spans="1:34" x14ac:dyDescent="0.25">
      <c r="A10" s="193"/>
      <c r="B10" s="492"/>
      <c r="C10" s="501"/>
      <c r="D10" s="492"/>
      <c r="E10" s="492"/>
      <c r="F10" s="492"/>
      <c r="G10" s="492"/>
      <c r="H10" s="492"/>
      <c r="I10" s="492"/>
      <c r="J10" s="492"/>
      <c r="K10" s="492"/>
      <c r="L10" s="492"/>
      <c r="M10" s="492"/>
      <c r="N10" s="492"/>
      <c r="O10" s="492"/>
      <c r="P10" s="492"/>
      <c r="Q10" s="492"/>
      <c r="R10" s="221"/>
      <c r="S10" s="493">
        <f>L6/12</f>
        <v>21.666666666666668</v>
      </c>
      <c r="T10" s="493"/>
      <c r="U10" s="222"/>
      <c r="V10" s="492"/>
      <c r="W10" s="492"/>
      <c r="X10" s="492"/>
      <c r="Y10" s="492"/>
      <c r="Z10" s="492"/>
      <c r="AA10" s="492"/>
      <c r="AB10" s="492"/>
      <c r="AC10" s="492"/>
      <c r="AD10" s="492"/>
      <c r="AE10" s="492"/>
      <c r="AF10" s="492"/>
      <c r="AG10" s="492"/>
      <c r="AH10" s="193"/>
    </row>
    <row r="11" spans="1:34" x14ac:dyDescent="0.25">
      <c r="A11" s="193"/>
      <c r="B11" s="490"/>
      <c r="C11" s="499" t="s">
        <v>271</v>
      </c>
      <c r="D11" s="490">
        <v>5</v>
      </c>
      <c r="E11" s="490">
        <v>0.625</v>
      </c>
      <c r="F11" s="490"/>
      <c r="G11" s="490"/>
      <c r="H11" s="490"/>
      <c r="I11" s="490">
        <v>2</v>
      </c>
      <c r="J11" s="490">
        <f>2*2</f>
        <v>4</v>
      </c>
      <c r="K11" s="490">
        <v>30</v>
      </c>
      <c r="L11" s="490">
        <v>30</v>
      </c>
      <c r="M11" s="490"/>
      <c r="N11" s="490"/>
      <c r="O11" s="490"/>
      <c r="P11" s="490"/>
      <c r="Q11" s="490"/>
      <c r="R11" s="213"/>
      <c r="S11" s="498"/>
      <c r="T11" s="498"/>
      <c r="U11" s="214"/>
      <c r="V11" s="490">
        <f>SUM(R11:U15)</f>
        <v>5</v>
      </c>
      <c r="W11" s="490">
        <f>+SUM(K11:Q15)</f>
        <v>60</v>
      </c>
      <c r="X11" s="490">
        <f>(+I11*J11*W11)/12</f>
        <v>40</v>
      </c>
      <c r="Y11" s="490">
        <f t="shared" ref="Y11:Z11" si="2">IF(Y$3=$D11,$X11*Y$4,0)</f>
        <v>0</v>
      </c>
      <c r="Z11" s="490">
        <f t="shared" si="2"/>
        <v>0</v>
      </c>
      <c r="AA11" s="490">
        <f t="shared" ref="AA11" si="3">IF(AA$3=$D11,$X11*AA$4,0)</f>
        <v>41.72</v>
      </c>
      <c r="AB11" s="490">
        <f t="shared" ref="AB11:AF11" si="4">IF(AB$4=$D11,$X11*AB$5,0)</f>
        <v>0</v>
      </c>
      <c r="AC11" s="490">
        <f t="shared" si="4"/>
        <v>0</v>
      </c>
      <c r="AD11" s="490">
        <f t="shared" si="4"/>
        <v>0</v>
      </c>
      <c r="AE11" s="490">
        <f t="shared" si="4"/>
        <v>0</v>
      </c>
      <c r="AF11" s="490">
        <f t="shared" si="4"/>
        <v>0</v>
      </c>
      <c r="AG11" s="490">
        <f>SUM(Y11:AF11)</f>
        <v>41.72</v>
      </c>
      <c r="AH11" s="193"/>
    </row>
    <row r="12" spans="1:34" x14ac:dyDescent="0.25">
      <c r="A12" s="193"/>
      <c r="B12" s="491"/>
      <c r="C12" s="500"/>
      <c r="D12" s="491"/>
      <c r="E12" s="491"/>
      <c r="F12" s="491"/>
      <c r="G12" s="491"/>
      <c r="H12" s="491"/>
      <c r="I12" s="491"/>
      <c r="J12" s="491"/>
      <c r="K12" s="491"/>
      <c r="L12" s="491"/>
      <c r="M12" s="491"/>
      <c r="N12" s="491"/>
      <c r="O12" s="491"/>
      <c r="P12" s="491"/>
      <c r="Q12" s="491"/>
      <c r="R12" s="213"/>
      <c r="S12" s="215"/>
      <c r="T12" s="216"/>
      <c r="U12" s="214"/>
      <c r="V12" s="491"/>
      <c r="W12" s="491"/>
      <c r="X12" s="491"/>
      <c r="Y12" s="491"/>
      <c r="Z12" s="491"/>
      <c r="AA12" s="491"/>
      <c r="AB12" s="491"/>
      <c r="AC12" s="491"/>
      <c r="AD12" s="491"/>
      <c r="AE12" s="491"/>
      <c r="AF12" s="491"/>
      <c r="AG12" s="491"/>
      <c r="AH12" s="193"/>
    </row>
    <row r="13" spans="1:34" x14ac:dyDescent="0.25">
      <c r="A13" s="193"/>
      <c r="B13" s="491"/>
      <c r="C13" s="500"/>
      <c r="D13" s="491"/>
      <c r="E13" s="491"/>
      <c r="F13" s="491"/>
      <c r="G13" s="491"/>
      <c r="H13" s="491"/>
      <c r="I13" s="491"/>
      <c r="J13" s="491"/>
      <c r="K13" s="491"/>
      <c r="L13" s="491"/>
      <c r="M13" s="491"/>
      <c r="N13" s="491"/>
      <c r="O13" s="491"/>
      <c r="P13" s="491"/>
      <c r="Q13" s="491"/>
      <c r="R13" s="217">
        <f>K11/12</f>
        <v>2.5</v>
      </c>
      <c r="S13" s="223"/>
      <c r="T13" s="195"/>
      <c r="U13" s="219"/>
      <c r="V13" s="491"/>
      <c r="W13" s="491"/>
      <c r="X13" s="491"/>
      <c r="Y13" s="491"/>
      <c r="Z13" s="491"/>
      <c r="AA13" s="491"/>
      <c r="AB13" s="491"/>
      <c r="AC13" s="491"/>
      <c r="AD13" s="491"/>
      <c r="AE13" s="491"/>
      <c r="AF13" s="491"/>
      <c r="AG13" s="491"/>
      <c r="AH13" s="193"/>
    </row>
    <row r="14" spans="1:34" ht="15.75" thickBot="1" x14ac:dyDescent="0.3">
      <c r="A14" s="193"/>
      <c r="B14" s="491"/>
      <c r="C14" s="500"/>
      <c r="D14" s="491"/>
      <c r="E14" s="491"/>
      <c r="F14" s="491"/>
      <c r="G14" s="491"/>
      <c r="H14" s="491"/>
      <c r="I14" s="491"/>
      <c r="J14" s="491"/>
      <c r="K14" s="491"/>
      <c r="L14" s="491"/>
      <c r="M14" s="491"/>
      <c r="N14" s="491"/>
      <c r="O14" s="491"/>
      <c r="P14" s="491"/>
      <c r="Q14" s="491"/>
      <c r="R14" s="213"/>
      <c r="S14" s="224"/>
      <c r="T14" s="220"/>
      <c r="U14" s="214"/>
      <c r="V14" s="491"/>
      <c r="W14" s="491"/>
      <c r="X14" s="491"/>
      <c r="Y14" s="491"/>
      <c r="Z14" s="491"/>
      <c r="AA14" s="491"/>
      <c r="AB14" s="491"/>
      <c r="AC14" s="491"/>
      <c r="AD14" s="491"/>
      <c r="AE14" s="491"/>
      <c r="AF14" s="491"/>
      <c r="AG14" s="491"/>
      <c r="AH14" s="193"/>
    </row>
    <row r="15" spans="1:34" x14ac:dyDescent="0.25">
      <c r="A15" s="193"/>
      <c r="B15" s="492"/>
      <c r="C15" s="501"/>
      <c r="D15" s="492"/>
      <c r="E15" s="492"/>
      <c r="F15" s="492"/>
      <c r="G15" s="492"/>
      <c r="H15" s="492"/>
      <c r="I15" s="492"/>
      <c r="J15" s="492"/>
      <c r="K15" s="492"/>
      <c r="L15" s="492"/>
      <c r="M15" s="492"/>
      <c r="N15" s="492"/>
      <c r="O15" s="492"/>
      <c r="P15" s="492"/>
      <c r="Q15" s="492"/>
      <c r="R15" s="221"/>
      <c r="S15" s="493">
        <f>L11/12</f>
        <v>2.5</v>
      </c>
      <c r="T15" s="493"/>
      <c r="U15" s="222"/>
      <c r="V15" s="492"/>
      <c r="W15" s="492"/>
      <c r="X15" s="492"/>
      <c r="Y15" s="492"/>
      <c r="Z15" s="492"/>
      <c r="AA15" s="492"/>
      <c r="AB15" s="492"/>
      <c r="AC15" s="492"/>
      <c r="AD15" s="492"/>
      <c r="AE15" s="492"/>
      <c r="AF15" s="492"/>
      <c r="AG15" s="492"/>
      <c r="AH15" s="193"/>
    </row>
    <row r="16" spans="1:34" x14ac:dyDescent="0.25">
      <c r="A16" s="193"/>
      <c r="B16" s="490"/>
      <c r="C16" s="490" t="s">
        <v>277</v>
      </c>
      <c r="D16" s="490">
        <v>5</v>
      </c>
      <c r="E16" s="490">
        <v>0.625</v>
      </c>
      <c r="F16" s="494">
        <v>16</v>
      </c>
      <c r="G16" s="229"/>
      <c r="H16" s="490"/>
      <c r="I16" s="490">
        <f>ROUNDUP(G6/F16,0)</f>
        <v>17</v>
      </c>
      <c r="J16" s="490">
        <v>2</v>
      </c>
      <c r="K16" s="490">
        <v>6</v>
      </c>
      <c r="L16" s="490">
        <f>4*12-2</f>
        <v>46</v>
      </c>
      <c r="M16" s="490">
        <f>10*12</f>
        <v>120</v>
      </c>
      <c r="N16" s="490"/>
      <c r="O16" s="490"/>
      <c r="P16" s="490"/>
      <c r="Q16" s="490"/>
      <c r="R16" s="213"/>
      <c r="S16" s="498"/>
      <c r="T16" s="498"/>
      <c r="U16" s="214"/>
      <c r="V16" s="490">
        <f>SUM(R16:U20)</f>
        <v>14.333333333333334</v>
      </c>
      <c r="W16" s="490">
        <f>+SUM(K16:Q20)</f>
        <v>172</v>
      </c>
      <c r="X16" s="490">
        <f>(+I16*J16*W16)/12</f>
        <v>487.33333333333331</v>
      </c>
      <c r="Y16" s="490">
        <f t="shared" ref="Y16:Z16" si="5">IF(Y$3=$D16,$X16*Y$4,0)</f>
        <v>0</v>
      </c>
      <c r="Z16" s="490">
        <f t="shared" si="5"/>
        <v>0</v>
      </c>
      <c r="AA16" s="490">
        <f t="shared" ref="AA16" si="6">IF(AA$3=$D16,$X16*AA$4,0)</f>
        <v>508.28866666666659</v>
      </c>
      <c r="AB16" s="490">
        <f t="shared" ref="AB16:AF16" si="7">IF(AB$4=$D16,$X16*AB$5,0)</f>
        <v>0</v>
      </c>
      <c r="AC16" s="490">
        <f t="shared" si="7"/>
        <v>0</v>
      </c>
      <c r="AD16" s="490">
        <f t="shared" si="7"/>
        <v>0</v>
      </c>
      <c r="AE16" s="490">
        <f t="shared" si="7"/>
        <v>0</v>
      </c>
      <c r="AF16" s="490">
        <f t="shared" si="7"/>
        <v>0</v>
      </c>
      <c r="AG16" s="490">
        <f>SUM(Y16:AF16)</f>
        <v>508.28866666666659</v>
      </c>
      <c r="AH16" s="193"/>
    </row>
    <row r="17" spans="1:34" x14ac:dyDescent="0.25">
      <c r="A17" s="193"/>
      <c r="B17" s="491"/>
      <c r="C17" s="491"/>
      <c r="D17" s="491"/>
      <c r="E17" s="491"/>
      <c r="F17" s="495"/>
      <c r="G17" s="230"/>
      <c r="H17" s="491"/>
      <c r="I17" s="491"/>
      <c r="J17" s="491"/>
      <c r="K17" s="491"/>
      <c r="L17" s="491"/>
      <c r="M17" s="491"/>
      <c r="N17" s="491"/>
      <c r="O17" s="491"/>
      <c r="P17" s="491"/>
      <c r="Q17" s="491"/>
      <c r="R17" s="213"/>
      <c r="S17" s="215"/>
      <c r="T17" s="216"/>
      <c r="U17" s="214"/>
      <c r="V17" s="491"/>
      <c r="W17" s="491"/>
      <c r="X17" s="491"/>
      <c r="Y17" s="491"/>
      <c r="Z17" s="491"/>
      <c r="AA17" s="491"/>
      <c r="AB17" s="491"/>
      <c r="AC17" s="491"/>
      <c r="AD17" s="491"/>
      <c r="AE17" s="491"/>
      <c r="AF17" s="491"/>
      <c r="AG17" s="491"/>
      <c r="AH17" s="193"/>
    </row>
    <row r="18" spans="1:34" x14ac:dyDescent="0.25">
      <c r="A18" s="193"/>
      <c r="B18" s="491"/>
      <c r="C18" s="491"/>
      <c r="D18" s="491"/>
      <c r="E18" s="491"/>
      <c r="F18" s="495"/>
      <c r="G18" s="230"/>
      <c r="H18" s="491"/>
      <c r="I18" s="491"/>
      <c r="J18" s="491"/>
      <c r="K18" s="491"/>
      <c r="L18" s="491"/>
      <c r="M18" s="491"/>
      <c r="N18" s="491"/>
      <c r="O18" s="491"/>
      <c r="P18" s="491"/>
      <c r="Q18" s="491"/>
      <c r="R18" s="225">
        <f>K16/12</f>
        <v>0.5</v>
      </c>
      <c r="S18" s="218"/>
      <c r="T18" s="218"/>
      <c r="U18" s="219"/>
      <c r="V18" s="491"/>
      <c r="W18" s="491"/>
      <c r="X18" s="491"/>
      <c r="Y18" s="491"/>
      <c r="Z18" s="491"/>
      <c r="AA18" s="491"/>
      <c r="AB18" s="491"/>
      <c r="AC18" s="491"/>
      <c r="AD18" s="491"/>
      <c r="AE18" s="491"/>
      <c r="AF18" s="491"/>
      <c r="AG18" s="491"/>
      <c r="AH18" s="193"/>
    </row>
    <row r="19" spans="1:34" ht="15.75" thickBot="1" x14ac:dyDescent="0.3">
      <c r="A19" s="193"/>
      <c r="B19" s="491"/>
      <c r="C19" s="491"/>
      <c r="D19" s="491"/>
      <c r="E19" s="491"/>
      <c r="F19" s="495"/>
      <c r="G19" s="230"/>
      <c r="H19" s="491"/>
      <c r="I19" s="491"/>
      <c r="J19" s="491"/>
      <c r="K19" s="491"/>
      <c r="L19" s="491"/>
      <c r="M19" s="491"/>
      <c r="N19" s="491"/>
      <c r="O19" s="491"/>
      <c r="P19" s="491"/>
      <c r="Q19" s="491"/>
      <c r="R19" s="226"/>
      <c r="S19" s="220"/>
      <c r="T19" s="220"/>
      <c r="U19" s="214"/>
      <c r="V19" s="491"/>
      <c r="W19" s="491"/>
      <c r="X19" s="491"/>
      <c r="Y19" s="491"/>
      <c r="Z19" s="491"/>
      <c r="AA19" s="491"/>
      <c r="AB19" s="491"/>
      <c r="AC19" s="491"/>
      <c r="AD19" s="491"/>
      <c r="AE19" s="491"/>
      <c r="AF19" s="491"/>
      <c r="AG19" s="491"/>
      <c r="AH19" s="193"/>
    </row>
    <row r="20" spans="1:34" x14ac:dyDescent="0.25">
      <c r="A20" s="193"/>
      <c r="B20" s="492"/>
      <c r="C20" s="492"/>
      <c r="D20" s="492"/>
      <c r="E20" s="492"/>
      <c r="F20" s="496"/>
      <c r="G20" s="231"/>
      <c r="H20" s="492"/>
      <c r="I20" s="492"/>
      <c r="J20" s="492"/>
      <c r="K20" s="492"/>
      <c r="L20" s="492"/>
      <c r="M20" s="492"/>
      <c r="N20" s="492"/>
      <c r="O20" s="492"/>
      <c r="P20" s="492"/>
      <c r="Q20" s="492"/>
      <c r="R20" s="221"/>
      <c r="S20" s="493">
        <f>+SUM(L16:M20)/12</f>
        <v>13.833333333333334</v>
      </c>
      <c r="T20" s="493"/>
      <c r="U20" s="222"/>
      <c r="V20" s="492"/>
      <c r="W20" s="492"/>
      <c r="X20" s="492"/>
      <c r="Y20" s="492"/>
      <c r="Z20" s="492"/>
      <c r="AA20" s="492"/>
      <c r="AB20" s="492"/>
      <c r="AC20" s="492"/>
      <c r="AD20" s="492"/>
      <c r="AE20" s="492"/>
      <c r="AF20" s="492"/>
      <c r="AG20" s="492"/>
      <c r="AH20" s="193"/>
    </row>
    <row r="21" spans="1:34" x14ac:dyDescent="0.25">
      <c r="A21" s="193"/>
      <c r="B21" s="490"/>
      <c r="C21" s="490" t="s">
        <v>286</v>
      </c>
      <c r="D21" s="490">
        <v>5</v>
      </c>
      <c r="E21" s="490">
        <v>0.625</v>
      </c>
      <c r="F21" s="494">
        <v>16</v>
      </c>
      <c r="G21" s="229"/>
      <c r="H21" s="490"/>
      <c r="I21" s="490">
        <f>ROUNDUP(M16/16,0)</f>
        <v>8</v>
      </c>
      <c r="J21" s="490">
        <v>2</v>
      </c>
      <c r="K21" s="490"/>
      <c r="L21" s="490">
        <f>G5-2-2</f>
        <v>260</v>
      </c>
      <c r="M21" s="490"/>
      <c r="N21" s="490"/>
      <c r="O21" s="490"/>
      <c r="P21" s="490"/>
      <c r="Q21" s="490"/>
      <c r="R21" s="213"/>
      <c r="S21" s="498"/>
      <c r="T21" s="498"/>
      <c r="U21" s="214"/>
      <c r="V21" s="490">
        <f>SUM(R21:U25)</f>
        <v>21.666666666666668</v>
      </c>
      <c r="W21" s="490">
        <f>+SUM(K21:Q25)</f>
        <v>260</v>
      </c>
      <c r="X21" s="490">
        <f>(+I21*J21*W21)/12</f>
        <v>346.66666666666669</v>
      </c>
      <c r="Y21" s="490">
        <f t="shared" ref="Y21:Z21" si="8">IF(Y$3=$D21,$X21*Y$4,0)</f>
        <v>0</v>
      </c>
      <c r="Z21" s="490">
        <f t="shared" si="8"/>
        <v>0</v>
      </c>
      <c r="AA21" s="490">
        <f t="shared" ref="AA21" si="9">IF(AA$3=$D21,$X21*AA$4,0)</f>
        <v>361.57333333333332</v>
      </c>
      <c r="AB21" s="490">
        <f t="shared" ref="AB21:AF21" si="10">IF(AB$4=$D21,$X21*AB$5,0)</f>
        <v>0</v>
      </c>
      <c r="AC21" s="490">
        <f t="shared" si="10"/>
        <v>0</v>
      </c>
      <c r="AD21" s="490">
        <f t="shared" si="10"/>
        <v>0</v>
      </c>
      <c r="AE21" s="490">
        <f t="shared" si="10"/>
        <v>0</v>
      </c>
      <c r="AF21" s="490">
        <f t="shared" si="10"/>
        <v>0</v>
      </c>
      <c r="AG21" s="490">
        <f>SUM(Y21:AF21)</f>
        <v>361.57333333333332</v>
      </c>
      <c r="AH21" s="193"/>
    </row>
    <row r="22" spans="1:34" x14ac:dyDescent="0.25">
      <c r="A22" s="193"/>
      <c r="B22" s="491"/>
      <c r="C22" s="491"/>
      <c r="D22" s="491"/>
      <c r="E22" s="491"/>
      <c r="F22" s="495"/>
      <c r="G22" s="230"/>
      <c r="H22" s="491"/>
      <c r="I22" s="491"/>
      <c r="J22" s="491"/>
      <c r="K22" s="491"/>
      <c r="L22" s="491"/>
      <c r="M22" s="491"/>
      <c r="N22" s="491"/>
      <c r="O22" s="491"/>
      <c r="P22" s="491"/>
      <c r="Q22" s="491"/>
      <c r="R22" s="213"/>
      <c r="S22" s="215"/>
      <c r="T22" s="216"/>
      <c r="U22" s="214"/>
      <c r="V22" s="491"/>
      <c r="W22" s="491"/>
      <c r="X22" s="491"/>
      <c r="Y22" s="491"/>
      <c r="Z22" s="491"/>
      <c r="AA22" s="491"/>
      <c r="AB22" s="491"/>
      <c r="AC22" s="491"/>
      <c r="AD22" s="491"/>
      <c r="AE22" s="491"/>
      <c r="AF22" s="491"/>
      <c r="AG22" s="491"/>
      <c r="AH22" s="193"/>
    </row>
    <row r="23" spans="1:34" x14ac:dyDescent="0.25">
      <c r="A23" s="193"/>
      <c r="B23" s="491"/>
      <c r="C23" s="491"/>
      <c r="D23" s="491"/>
      <c r="E23" s="491"/>
      <c r="F23" s="495"/>
      <c r="G23" s="230"/>
      <c r="H23" s="491"/>
      <c r="I23" s="491"/>
      <c r="J23" s="491"/>
      <c r="K23" s="491"/>
      <c r="L23" s="491"/>
      <c r="M23" s="491"/>
      <c r="N23" s="491"/>
      <c r="O23" s="491"/>
      <c r="P23" s="491"/>
      <c r="Q23" s="497"/>
      <c r="R23" s="217"/>
      <c r="S23" s="218"/>
      <c r="T23" s="218"/>
      <c r="U23" s="219"/>
      <c r="V23" s="491"/>
      <c r="W23" s="491"/>
      <c r="X23" s="491"/>
      <c r="Y23" s="491"/>
      <c r="Z23" s="491"/>
      <c r="AA23" s="491"/>
      <c r="AB23" s="491"/>
      <c r="AC23" s="491"/>
      <c r="AD23" s="491"/>
      <c r="AE23" s="491"/>
      <c r="AF23" s="491"/>
      <c r="AG23" s="491"/>
      <c r="AH23" s="193"/>
    </row>
    <row r="24" spans="1:34" ht="15.75" thickBot="1" x14ac:dyDescent="0.3">
      <c r="A24" s="193"/>
      <c r="B24" s="491"/>
      <c r="C24" s="491"/>
      <c r="D24" s="491"/>
      <c r="E24" s="491"/>
      <c r="F24" s="495"/>
      <c r="G24" s="230"/>
      <c r="H24" s="491"/>
      <c r="I24" s="491"/>
      <c r="J24" s="491"/>
      <c r="K24" s="491"/>
      <c r="L24" s="491"/>
      <c r="M24" s="491"/>
      <c r="N24" s="491"/>
      <c r="O24" s="491"/>
      <c r="P24" s="491"/>
      <c r="Q24" s="497"/>
      <c r="R24" s="213"/>
      <c r="S24" s="220"/>
      <c r="T24" s="220"/>
      <c r="U24" s="214"/>
      <c r="V24" s="491"/>
      <c r="W24" s="491"/>
      <c r="X24" s="491"/>
      <c r="Y24" s="491"/>
      <c r="Z24" s="491"/>
      <c r="AA24" s="491"/>
      <c r="AB24" s="491"/>
      <c r="AC24" s="491"/>
      <c r="AD24" s="491"/>
      <c r="AE24" s="491"/>
      <c r="AF24" s="491"/>
      <c r="AG24" s="491"/>
      <c r="AH24" s="193"/>
    </row>
    <row r="25" spans="1:34" x14ac:dyDescent="0.25">
      <c r="A25" s="193"/>
      <c r="B25" s="492"/>
      <c r="C25" s="492"/>
      <c r="D25" s="492"/>
      <c r="E25" s="492"/>
      <c r="F25" s="496"/>
      <c r="G25" s="231"/>
      <c r="H25" s="492"/>
      <c r="I25" s="492"/>
      <c r="J25" s="492"/>
      <c r="K25" s="492"/>
      <c r="L25" s="492"/>
      <c r="M25" s="492"/>
      <c r="N25" s="492"/>
      <c r="O25" s="492"/>
      <c r="P25" s="492"/>
      <c r="Q25" s="492"/>
      <c r="R25" s="221"/>
      <c r="S25" s="493">
        <f>L21/12</f>
        <v>21.666666666666668</v>
      </c>
      <c r="T25" s="493"/>
      <c r="U25" s="222"/>
      <c r="V25" s="492"/>
      <c r="W25" s="492"/>
      <c r="X25" s="492"/>
      <c r="Y25" s="492"/>
      <c r="Z25" s="492"/>
      <c r="AA25" s="492"/>
      <c r="AB25" s="492"/>
      <c r="AC25" s="492"/>
      <c r="AD25" s="492"/>
      <c r="AE25" s="492"/>
      <c r="AF25" s="492"/>
      <c r="AG25" s="492"/>
      <c r="AH25" s="193"/>
    </row>
    <row r="26" spans="1:34" ht="15.75" thickBot="1" x14ac:dyDescent="0.3">
      <c r="A26" s="195"/>
      <c r="B26" s="200" t="s">
        <v>233</v>
      </c>
      <c r="C26" s="199" t="s">
        <v>283</v>
      </c>
      <c r="D26" s="197">
        <v>60</v>
      </c>
      <c r="E26" s="201">
        <v>8</v>
      </c>
      <c r="F26" s="202"/>
      <c r="G26" s="202">
        <f>12*12</f>
        <v>144</v>
      </c>
      <c r="H26" s="202"/>
      <c r="I26" s="202"/>
      <c r="J26" s="202"/>
      <c r="K26" s="199"/>
      <c r="L26" s="199"/>
      <c r="M26" s="199"/>
      <c r="N26" s="199"/>
      <c r="O26" s="199"/>
      <c r="P26" s="199"/>
      <c r="Q26" s="198"/>
      <c r="R26" s="196"/>
      <c r="S26" s="196"/>
      <c r="T26" s="196"/>
      <c r="U26" s="196"/>
      <c r="V26" s="203"/>
      <c r="W26" s="202"/>
      <c r="X26" s="202"/>
      <c r="Y26" s="199"/>
      <c r="Z26" s="199"/>
      <c r="AA26" s="199"/>
      <c r="AB26" s="199"/>
      <c r="AC26" s="199"/>
      <c r="AD26" s="199"/>
      <c r="AE26" s="199"/>
      <c r="AF26" s="199"/>
      <c r="AG26" s="199"/>
      <c r="AH26" s="195"/>
    </row>
    <row r="27" spans="1:34" x14ac:dyDescent="0.25">
      <c r="A27" s="193"/>
      <c r="B27" s="490"/>
      <c r="C27" s="499" t="s">
        <v>265</v>
      </c>
      <c r="D27" s="490">
        <v>5</v>
      </c>
      <c r="E27" s="490">
        <v>0.625</v>
      </c>
      <c r="F27" s="490"/>
      <c r="G27" s="490">
        <f>22*12</f>
        <v>264</v>
      </c>
      <c r="H27" s="490"/>
      <c r="I27" s="490">
        <v>2</v>
      </c>
      <c r="J27" s="490">
        <v>2</v>
      </c>
      <c r="K27" s="490"/>
      <c r="L27" s="490">
        <f>G26-2-2</f>
        <v>140</v>
      </c>
      <c r="M27" s="490"/>
      <c r="N27" s="490"/>
      <c r="O27" s="490"/>
      <c r="P27" s="490"/>
      <c r="Q27" s="490"/>
      <c r="R27" s="213"/>
      <c r="S27" s="502"/>
      <c r="T27" s="502"/>
      <c r="U27" s="214"/>
      <c r="V27" s="490">
        <f>SUM(R27:U31)</f>
        <v>11.666666666666666</v>
      </c>
      <c r="W27" s="490">
        <f>+SUM(K27:Q31)</f>
        <v>140</v>
      </c>
      <c r="X27" s="490">
        <f>(+I27*J27*W27)/12</f>
        <v>46.666666666666664</v>
      </c>
      <c r="Y27" s="490">
        <f t="shared" si="0"/>
        <v>0</v>
      </c>
      <c r="Z27" s="490">
        <f t="shared" si="0"/>
        <v>0</v>
      </c>
      <c r="AA27" s="490">
        <f>IF(AA$3=$D27,$X27*AA$4,0)</f>
        <v>48.673333333333325</v>
      </c>
      <c r="AB27" s="490">
        <f t="shared" ref="AB27:AF27" si="11">IF(AB$3=$D27,$X27*AB$4,0)</f>
        <v>0</v>
      </c>
      <c r="AC27" s="490">
        <f t="shared" si="11"/>
        <v>0</v>
      </c>
      <c r="AD27" s="490">
        <f t="shared" si="11"/>
        <v>0</v>
      </c>
      <c r="AE27" s="490">
        <f t="shared" si="11"/>
        <v>0</v>
      </c>
      <c r="AF27" s="490">
        <f t="shared" si="11"/>
        <v>0</v>
      </c>
      <c r="AG27" s="490">
        <f>SUM(Y27:AF27)</f>
        <v>48.673333333333325</v>
      </c>
      <c r="AH27" s="193"/>
    </row>
    <row r="28" spans="1:34" x14ac:dyDescent="0.25">
      <c r="A28" s="193"/>
      <c r="B28" s="491"/>
      <c r="C28" s="500"/>
      <c r="D28" s="491"/>
      <c r="E28" s="491"/>
      <c r="F28" s="491"/>
      <c r="G28" s="491"/>
      <c r="H28" s="491"/>
      <c r="I28" s="491"/>
      <c r="J28" s="491"/>
      <c r="K28" s="491"/>
      <c r="L28" s="491"/>
      <c r="M28" s="491"/>
      <c r="N28" s="491"/>
      <c r="O28" s="491"/>
      <c r="P28" s="491"/>
      <c r="Q28" s="491"/>
      <c r="R28" s="213"/>
      <c r="S28" s="215"/>
      <c r="T28" s="216"/>
      <c r="U28" s="214"/>
      <c r="V28" s="491"/>
      <c r="W28" s="491"/>
      <c r="X28" s="491"/>
      <c r="Y28" s="491"/>
      <c r="Z28" s="491"/>
      <c r="AA28" s="491"/>
      <c r="AB28" s="491"/>
      <c r="AC28" s="491"/>
      <c r="AD28" s="491"/>
      <c r="AE28" s="491"/>
      <c r="AF28" s="491"/>
      <c r="AG28" s="491"/>
      <c r="AH28" s="193"/>
    </row>
    <row r="29" spans="1:34" x14ac:dyDescent="0.25">
      <c r="A29" s="193"/>
      <c r="B29" s="491"/>
      <c r="C29" s="500"/>
      <c r="D29" s="491"/>
      <c r="E29" s="491"/>
      <c r="F29" s="491"/>
      <c r="G29" s="491"/>
      <c r="H29" s="491"/>
      <c r="I29" s="491"/>
      <c r="J29" s="491"/>
      <c r="K29" s="491"/>
      <c r="L29" s="491"/>
      <c r="M29" s="491"/>
      <c r="N29" s="491"/>
      <c r="O29" s="491"/>
      <c r="P29" s="491"/>
      <c r="Q29" s="491"/>
      <c r="R29" s="217"/>
      <c r="S29" s="218"/>
      <c r="T29" s="218"/>
      <c r="U29" s="219"/>
      <c r="V29" s="491"/>
      <c r="W29" s="491"/>
      <c r="X29" s="491"/>
      <c r="Y29" s="491"/>
      <c r="Z29" s="491"/>
      <c r="AA29" s="491"/>
      <c r="AB29" s="491"/>
      <c r="AC29" s="491"/>
      <c r="AD29" s="491"/>
      <c r="AE29" s="491"/>
      <c r="AF29" s="491"/>
      <c r="AG29" s="491"/>
      <c r="AH29" s="193"/>
    </row>
    <row r="30" spans="1:34" ht="15.75" thickBot="1" x14ac:dyDescent="0.3">
      <c r="A30" s="193"/>
      <c r="B30" s="491"/>
      <c r="C30" s="500"/>
      <c r="D30" s="491"/>
      <c r="E30" s="491"/>
      <c r="F30" s="491"/>
      <c r="G30" s="491"/>
      <c r="H30" s="491"/>
      <c r="I30" s="491"/>
      <c r="J30" s="491"/>
      <c r="K30" s="491"/>
      <c r="L30" s="491"/>
      <c r="M30" s="491"/>
      <c r="N30" s="491"/>
      <c r="O30" s="491"/>
      <c r="P30" s="491"/>
      <c r="Q30" s="491"/>
      <c r="R30" s="213"/>
      <c r="S30" s="220"/>
      <c r="T30" s="220"/>
      <c r="U30" s="214"/>
      <c r="V30" s="491"/>
      <c r="W30" s="491"/>
      <c r="X30" s="491"/>
      <c r="Y30" s="491"/>
      <c r="Z30" s="491"/>
      <c r="AA30" s="491"/>
      <c r="AB30" s="491"/>
      <c r="AC30" s="491"/>
      <c r="AD30" s="491"/>
      <c r="AE30" s="491"/>
      <c r="AF30" s="491"/>
      <c r="AG30" s="491"/>
      <c r="AH30" s="193"/>
    </row>
    <row r="31" spans="1:34" x14ac:dyDescent="0.25">
      <c r="A31" s="193"/>
      <c r="B31" s="492"/>
      <c r="C31" s="501"/>
      <c r="D31" s="492"/>
      <c r="E31" s="492"/>
      <c r="F31" s="492"/>
      <c r="G31" s="492"/>
      <c r="H31" s="492"/>
      <c r="I31" s="492"/>
      <c r="J31" s="492"/>
      <c r="K31" s="492"/>
      <c r="L31" s="492"/>
      <c r="M31" s="492"/>
      <c r="N31" s="492"/>
      <c r="O31" s="492"/>
      <c r="P31" s="492"/>
      <c r="Q31" s="492"/>
      <c r="R31" s="221"/>
      <c r="S31" s="493">
        <f>L27/12</f>
        <v>11.666666666666666</v>
      </c>
      <c r="T31" s="493"/>
      <c r="U31" s="222"/>
      <c r="V31" s="492"/>
      <c r="W31" s="492"/>
      <c r="X31" s="492"/>
      <c r="Y31" s="492"/>
      <c r="Z31" s="492"/>
      <c r="AA31" s="492"/>
      <c r="AB31" s="492"/>
      <c r="AC31" s="492"/>
      <c r="AD31" s="492"/>
      <c r="AE31" s="492"/>
      <c r="AF31" s="492"/>
      <c r="AG31" s="492"/>
      <c r="AH31" s="193"/>
    </row>
    <row r="32" spans="1:34" x14ac:dyDescent="0.25">
      <c r="A32" s="193"/>
      <c r="B32" s="490"/>
      <c r="C32" s="499" t="s">
        <v>271</v>
      </c>
      <c r="D32" s="490">
        <v>5</v>
      </c>
      <c r="E32" s="490">
        <v>0.625</v>
      </c>
      <c r="F32" s="490"/>
      <c r="G32" s="490"/>
      <c r="H32" s="490"/>
      <c r="I32" s="490">
        <v>2</v>
      </c>
      <c r="J32" s="490">
        <f>2*2</f>
        <v>4</v>
      </c>
      <c r="K32" s="490">
        <v>30</v>
      </c>
      <c r="L32" s="490">
        <v>30</v>
      </c>
      <c r="M32" s="490"/>
      <c r="N32" s="490"/>
      <c r="O32" s="490"/>
      <c r="P32" s="490"/>
      <c r="Q32" s="490"/>
      <c r="R32" s="213"/>
      <c r="S32" s="498"/>
      <c r="T32" s="498"/>
      <c r="U32" s="214"/>
      <c r="V32" s="490">
        <f>SUM(R32:U36)</f>
        <v>5</v>
      </c>
      <c r="W32" s="490">
        <f>+SUM(K32:Q36)</f>
        <v>60</v>
      </c>
      <c r="X32" s="490">
        <f>(+I32*J32*W32)/12</f>
        <v>40</v>
      </c>
      <c r="Y32" s="490">
        <f t="shared" ref="Y32:AA32" si="12">IF(Y$3=$D32,$X32*Y$4,0)</f>
        <v>0</v>
      </c>
      <c r="Z32" s="490">
        <f t="shared" si="12"/>
        <v>0</v>
      </c>
      <c r="AA32" s="490">
        <f t="shared" si="12"/>
        <v>41.72</v>
      </c>
      <c r="AB32" s="490">
        <f t="shared" ref="AB32:AF32" si="13">IF(AB$4=$D32,$X32*AB$5,0)</f>
        <v>0</v>
      </c>
      <c r="AC32" s="490">
        <f t="shared" si="13"/>
        <v>0</v>
      </c>
      <c r="AD32" s="490">
        <f t="shared" si="13"/>
        <v>0</v>
      </c>
      <c r="AE32" s="490">
        <f t="shared" si="13"/>
        <v>0</v>
      </c>
      <c r="AF32" s="490">
        <f t="shared" si="13"/>
        <v>0</v>
      </c>
      <c r="AG32" s="490">
        <f>SUM(Y32:AF32)</f>
        <v>41.72</v>
      </c>
      <c r="AH32" s="193"/>
    </row>
    <row r="33" spans="1:34" x14ac:dyDescent="0.25">
      <c r="A33" s="193"/>
      <c r="B33" s="491"/>
      <c r="C33" s="500"/>
      <c r="D33" s="491"/>
      <c r="E33" s="491"/>
      <c r="F33" s="491"/>
      <c r="G33" s="491"/>
      <c r="H33" s="491"/>
      <c r="I33" s="491"/>
      <c r="J33" s="491"/>
      <c r="K33" s="491"/>
      <c r="L33" s="491"/>
      <c r="M33" s="491"/>
      <c r="N33" s="491"/>
      <c r="O33" s="491"/>
      <c r="P33" s="491"/>
      <c r="Q33" s="491"/>
      <c r="R33" s="213"/>
      <c r="S33" s="215"/>
      <c r="T33" s="216"/>
      <c r="U33" s="214"/>
      <c r="V33" s="491"/>
      <c r="W33" s="491"/>
      <c r="X33" s="491"/>
      <c r="Y33" s="491"/>
      <c r="Z33" s="491"/>
      <c r="AA33" s="491"/>
      <c r="AB33" s="491"/>
      <c r="AC33" s="491"/>
      <c r="AD33" s="491"/>
      <c r="AE33" s="491"/>
      <c r="AF33" s="491"/>
      <c r="AG33" s="491"/>
      <c r="AH33" s="193"/>
    </row>
    <row r="34" spans="1:34" x14ac:dyDescent="0.25">
      <c r="A34" s="193"/>
      <c r="B34" s="491"/>
      <c r="C34" s="500"/>
      <c r="D34" s="491"/>
      <c r="E34" s="491"/>
      <c r="F34" s="491"/>
      <c r="G34" s="491"/>
      <c r="H34" s="491"/>
      <c r="I34" s="491"/>
      <c r="J34" s="491"/>
      <c r="K34" s="491"/>
      <c r="L34" s="491"/>
      <c r="M34" s="491"/>
      <c r="N34" s="491"/>
      <c r="O34" s="491"/>
      <c r="P34" s="491"/>
      <c r="Q34" s="491"/>
      <c r="R34" s="217">
        <f>K32/12</f>
        <v>2.5</v>
      </c>
      <c r="S34" s="223"/>
      <c r="T34" s="195"/>
      <c r="U34" s="219"/>
      <c r="V34" s="491"/>
      <c r="W34" s="491"/>
      <c r="X34" s="491"/>
      <c r="Y34" s="491"/>
      <c r="Z34" s="491"/>
      <c r="AA34" s="491"/>
      <c r="AB34" s="491"/>
      <c r="AC34" s="491"/>
      <c r="AD34" s="491"/>
      <c r="AE34" s="491"/>
      <c r="AF34" s="491"/>
      <c r="AG34" s="491"/>
      <c r="AH34" s="193"/>
    </row>
    <row r="35" spans="1:34" ht="15.75" thickBot="1" x14ac:dyDescent="0.3">
      <c r="A35" s="193"/>
      <c r="B35" s="491"/>
      <c r="C35" s="500"/>
      <c r="D35" s="491"/>
      <c r="E35" s="491"/>
      <c r="F35" s="491"/>
      <c r="G35" s="491"/>
      <c r="H35" s="491"/>
      <c r="I35" s="491"/>
      <c r="J35" s="491"/>
      <c r="K35" s="491"/>
      <c r="L35" s="491"/>
      <c r="M35" s="491"/>
      <c r="N35" s="491"/>
      <c r="O35" s="491"/>
      <c r="P35" s="491"/>
      <c r="Q35" s="491"/>
      <c r="R35" s="213"/>
      <c r="S35" s="224"/>
      <c r="T35" s="220"/>
      <c r="U35" s="214"/>
      <c r="V35" s="491"/>
      <c r="W35" s="491"/>
      <c r="X35" s="491"/>
      <c r="Y35" s="491"/>
      <c r="Z35" s="491"/>
      <c r="AA35" s="491"/>
      <c r="AB35" s="491"/>
      <c r="AC35" s="491"/>
      <c r="AD35" s="491"/>
      <c r="AE35" s="491"/>
      <c r="AF35" s="491"/>
      <c r="AG35" s="491"/>
      <c r="AH35" s="193"/>
    </row>
    <row r="36" spans="1:34" x14ac:dyDescent="0.25">
      <c r="A36" s="193"/>
      <c r="B36" s="492"/>
      <c r="C36" s="501"/>
      <c r="D36" s="492"/>
      <c r="E36" s="492"/>
      <c r="F36" s="492"/>
      <c r="G36" s="492"/>
      <c r="H36" s="492"/>
      <c r="I36" s="492"/>
      <c r="J36" s="492"/>
      <c r="K36" s="492"/>
      <c r="L36" s="492"/>
      <c r="M36" s="492"/>
      <c r="N36" s="492"/>
      <c r="O36" s="492"/>
      <c r="P36" s="492"/>
      <c r="Q36" s="492"/>
      <c r="R36" s="221"/>
      <c r="S36" s="493">
        <f>L32/12</f>
        <v>2.5</v>
      </c>
      <c r="T36" s="493"/>
      <c r="U36" s="222"/>
      <c r="V36" s="492"/>
      <c r="W36" s="492"/>
      <c r="X36" s="492"/>
      <c r="Y36" s="492"/>
      <c r="Z36" s="492"/>
      <c r="AA36" s="492"/>
      <c r="AB36" s="492"/>
      <c r="AC36" s="492"/>
      <c r="AD36" s="492"/>
      <c r="AE36" s="492"/>
      <c r="AF36" s="492"/>
      <c r="AG36" s="492"/>
      <c r="AH36" s="193"/>
    </row>
    <row r="37" spans="1:34" x14ac:dyDescent="0.25">
      <c r="A37" s="193"/>
      <c r="B37" s="490"/>
      <c r="C37" s="490" t="s">
        <v>277</v>
      </c>
      <c r="D37" s="490">
        <v>5</v>
      </c>
      <c r="E37" s="490">
        <v>0.625</v>
      </c>
      <c r="F37" s="494">
        <v>16</v>
      </c>
      <c r="G37" s="229"/>
      <c r="H37" s="490"/>
      <c r="I37" s="490">
        <f>ROUNDUP(G27/F37,0)</f>
        <v>17</v>
      </c>
      <c r="J37" s="490">
        <v>2</v>
      </c>
      <c r="K37" s="490">
        <v>6</v>
      </c>
      <c r="L37" s="490">
        <f>4*12-2</f>
        <v>46</v>
      </c>
      <c r="M37" s="490">
        <f>10*12</f>
        <v>120</v>
      </c>
      <c r="N37" s="490"/>
      <c r="O37" s="490"/>
      <c r="P37" s="490"/>
      <c r="Q37" s="490"/>
      <c r="R37" s="213"/>
      <c r="S37" s="498"/>
      <c r="T37" s="498"/>
      <c r="U37" s="214"/>
      <c r="V37" s="490">
        <f>SUM(R37:U41)</f>
        <v>14.333333333333334</v>
      </c>
      <c r="W37" s="490">
        <f>+SUM(K37:Q41)</f>
        <v>172</v>
      </c>
      <c r="X37" s="490">
        <f>(+I37*J37*W37)/12</f>
        <v>487.33333333333331</v>
      </c>
      <c r="Y37" s="490">
        <f t="shared" ref="Y37:AA37" si="14">IF(Y$3=$D37,$X37*Y$4,0)</f>
        <v>0</v>
      </c>
      <c r="Z37" s="490">
        <f t="shared" si="14"/>
        <v>0</v>
      </c>
      <c r="AA37" s="490">
        <f t="shared" si="14"/>
        <v>508.28866666666659</v>
      </c>
      <c r="AB37" s="490">
        <f t="shared" ref="AB37:AF37" si="15">IF(AB$4=$D37,$X37*AB$5,0)</f>
        <v>0</v>
      </c>
      <c r="AC37" s="490">
        <f t="shared" si="15"/>
        <v>0</v>
      </c>
      <c r="AD37" s="490">
        <f t="shared" si="15"/>
        <v>0</v>
      </c>
      <c r="AE37" s="490">
        <f t="shared" si="15"/>
        <v>0</v>
      </c>
      <c r="AF37" s="490">
        <f t="shared" si="15"/>
        <v>0</v>
      </c>
      <c r="AG37" s="490">
        <f>SUM(Y37:AF37)</f>
        <v>508.28866666666659</v>
      </c>
      <c r="AH37" s="193"/>
    </row>
    <row r="38" spans="1:34" x14ac:dyDescent="0.25">
      <c r="A38" s="193"/>
      <c r="B38" s="491"/>
      <c r="C38" s="491"/>
      <c r="D38" s="491"/>
      <c r="E38" s="491"/>
      <c r="F38" s="495"/>
      <c r="G38" s="230"/>
      <c r="H38" s="491"/>
      <c r="I38" s="491"/>
      <c r="J38" s="491"/>
      <c r="K38" s="491"/>
      <c r="L38" s="491"/>
      <c r="M38" s="491"/>
      <c r="N38" s="491"/>
      <c r="O38" s="491"/>
      <c r="P38" s="491"/>
      <c r="Q38" s="491"/>
      <c r="R38" s="213"/>
      <c r="S38" s="215"/>
      <c r="T38" s="216"/>
      <c r="U38" s="214"/>
      <c r="V38" s="491"/>
      <c r="W38" s="491"/>
      <c r="X38" s="491"/>
      <c r="Y38" s="491"/>
      <c r="Z38" s="491"/>
      <c r="AA38" s="491"/>
      <c r="AB38" s="491"/>
      <c r="AC38" s="491"/>
      <c r="AD38" s="491"/>
      <c r="AE38" s="491"/>
      <c r="AF38" s="491"/>
      <c r="AG38" s="491"/>
      <c r="AH38" s="193"/>
    </row>
    <row r="39" spans="1:34" x14ac:dyDescent="0.25">
      <c r="A39" s="193"/>
      <c r="B39" s="491"/>
      <c r="C39" s="491"/>
      <c r="D39" s="491"/>
      <c r="E39" s="491"/>
      <c r="F39" s="495"/>
      <c r="G39" s="230"/>
      <c r="H39" s="491"/>
      <c r="I39" s="491"/>
      <c r="J39" s="491"/>
      <c r="K39" s="491"/>
      <c r="L39" s="491"/>
      <c r="M39" s="491"/>
      <c r="N39" s="491"/>
      <c r="O39" s="491"/>
      <c r="P39" s="491"/>
      <c r="Q39" s="491"/>
      <c r="R39" s="225">
        <f>K37/12</f>
        <v>0.5</v>
      </c>
      <c r="S39" s="218"/>
      <c r="T39" s="218"/>
      <c r="U39" s="219"/>
      <c r="V39" s="491"/>
      <c r="W39" s="491"/>
      <c r="X39" s="491"/>
      <c r="Y39" s="491"/>
      <c r="Z39" s="491"/>
      <c r="AA39" s="491"/>
      <c r="AB39" s="491"/>
      <c r="AC39" s="491"/>
      <c r="AD39" s="491"/>
      <c r="AE39" s="491"/>
      <c r="AF39" s="491"/>
      <c r="AG39" s="491"/>
      <c r="AH39" s="193"/>
    </row>
    <row r="40" spans="1:34" ht="15.75" thickBot="1" x14ac:dyDescent="0.3">
      <c r="A40" s="193"/>
      <c r="B40" s="491"/>
      <c r="C40" s="491"/>
      <c r="D40" s="491"/>
      <c r="E40" s="491"/>
      <c r="F40" s="495"/>
      <c r="G40" s="230"/>
      <c r="H40" s="491"/>
      <c r="I40" s="491"/>
      <c r="J40" s="491"/>
      <c r="K40" s="491"/>
      <c r="L40" s="491"/>
      <c r="M40" s="491"/>
      <c r="N40" s="491"/>
      <c r="O40" s="491"/>
      <c r="P40" s="491"/>
      <c r="Q40" s="491"/>
      <c r="R40" s="226"/>
      <c r="S40" s="220"/>
      <c r="T40" s="220"/>
      <c r="U40" s="214"/>
      <c r="V40" s="491"/>
      <c r="W40" s="491"/>
      <c r="X40" s="491"/>
      <c r="Y40" s="491"/>
      <c r="Z40" s="491"/>
      <c r="AA40" s="491"/>
      <c r="AB40" s="491"/>
      <c r="AC40" s="491"/>
      <c r="AD40" s="491"/>
      <c r="AE40" s="491"/>
      <c r="AF40" s="491"/>
      <c r="AG40" s="491"/>
      <c r="AH40" s="193"/>
    </row>
    <row r="41" spans="1:34" x14ac:dyDescent="0.25">
      <c r="A41" s="193"/>
      <c r="B41" s="492"/>
      <c r="C41" s="492"/>
      <c r="D41" s="492"/>
      <c r="E41" s="492"/>
      <c r="F41" s="496"/>
      <c r="G41" s="231"/>
      <c r="H41" s="492"/>
      <c r="I41" s="492"/>
      <c r="J41" s="492"/>
      <c r="K41" s="492"/>
      <c r="L41" s="492"/>
      <c r="M41" s="492"/>
      <c r="N41" s="492"/>
      <c r="O41" s="492"/>
      <c r="P41" s="492"/>
      <c r="Q41" s="492"/>
      <c r="R41" s="221"/>
      <c r="S41" s="493">
        <f>+SUM(L37:M41)/12</f>
        <v>13.833333333333334</v>
      </c>
      <c r="T41" s="493"/>
      <c r="U41" s="222"/>
      <c r="V41" s="492"/>
      <c r="W41" s="492"/>
      <c r="X41" s="492"/>
      <c r="Y41" s="492"/>
      <c r="Z41" s="492"/>
      <c r="AA41" s="492"/>
      <c r="AB41" s="492"/>
      <c r="AC41" s="492"/>
      <c r="AD41" s="492"/>
      <c r="AE41" s="492"/>
      <c r="AF41" s="492"/>
      <c r="AG41" s="492"/>
      <c r="AH41" s="193"/>
    </row>
    <row r="42" spans="1:34" x14ac:dyDescent="0.25">
      <c r="A42" s="193"/>
      <c r="B42" s="490"/>
      <c r="C42" s="490" t="s">
        <v>286</v>
      </c>
      <c r="D42" s="490">
        <v>5</v>
      </c>
      <c r="E42" s="490">
        <v>0.625</v>
      </c>
      <c r="F42" s="494">
        <v>16</v>
      </c>
      <c r="G42" s="229"/>
      <c r="H42" s="490"/>
      <c r="I42" s="490">
        <f>ROUNDUP(M37/16,0)</f>
        <v>8</v>
      </c>
      <c r="J42" s="490">
        <v>2</v>
      </c>
      <c r="K42" s="490"/>
      <c r="L42" s="490">
        <f>G26-2-2</f>
        <v>140</v>
      </c>
      <c r="M42" s="490"/>
      <c r="N42" s="490"/>
      <c r="O42" s="490"/>
      <c r="P42" s="490"/>
      <c r="Q42" s="490"/>
      <c r="R42" s="213"/>
      <c r="S42" s="498"/>
      <c r="T42" s="498"/>
      <c r="U42" s="214"/>
      <c r="V42" s="490">
        <f>SUM(R42:U46)</f>
        <v>11.666666666666666</v>
      </c>
      <c r="W42" s="490">
        <f>+SUM(K42:Q46)</f>
        <v>140</v>
      </c>
      <c r="X42" s="490">
        <f>(+I42*J42*W42)/12</f>
        <v>186.66666666666666</v>
      </c>
      <c r="Y42" s="490">
        <f t="shared" ref="Y42:AA42" si="16">IF(Y$3=$D42,$X42*Y$4,0)</f>
        <v>0</v>
      </c>
      <c r="Z42" s="490">
        <f t="shared" si="16"/>
        <v>0</v>
      </c>
      <c r="AA42" s="490">
        <f t="shared" si="16"/>
        <v>194.6933333333333</v>
      </c>
      <c r="AB42" s="490">
        <f t="shared" ref="AB42:AF42" si="17">IF(AB$4=$D42,$X42*AB$5,0)</f>
        <v>0</v>
      </c>
      <c r="AC42" s="490">
        <f t="shared" si="17"/>
        <v>0</v>
      </c>
      <c r="AD42" s="490">
        <f t="shared" si="17"/>
        <v>0</v>
      </c>
      <c r="AE42" s="490">
        <f t="shared" si="17"/>
        <v>0</v>
      </c>
      <c r="AF42" s="490">
        <f t="shared" si="17"/>
        <v>0</v>
      </c>
      <c r="AG42" s="490">
        <f>SUM(Y42:AF42)</f>
        <v>194.6933333333333</v>
      </c>
      <c r="AH42" s="193"/>
    </row>
    <row r="43" spans="1:34" x14ac:dyDescent="0.25">
      <c r="A43" s="193"/>
      <c r="B43" s="491"/>
      <c r="C43" s="491"/>
      <c r="D43" s="491"/>
      <c r="E43" s="491"/>
      <c r="F43" s="495"/>
      <c r="G43" s="230"/>
      <c r="H43" s="491"/>
      <c r="I43" s="491"/>
      <c r="J43" s="491"/>
      <c r="K43" s="491"/>
      <c r="L43" s="491"/>
      <c r="M43" s="491"/>
      <c r="N43" s="491"/>
      <c r="O43" s="491"/>
      <c r="P43" s="491"/>
      <c r="Q43" s="491"/>
      <c r="R43" s="213"/>
      <c r="S43" s="215"/>
      <c r="T43" s="216"/>
      <c r="U43" s="214"/>
      <c r="V43" s="491"/>
      <c r="W43" s="491"/>
      <c r="X43" s="491"/>
      <c r="Y43" s="491"/>
      <c r="Z43" s="491"/>
      <c r="AA43" s="491"/>
      <c r="AB43" s="491"/>
      <c r="AC43" s="491"/>
      <c r="AD43" s="491"/>
      <c r="AE43" s="491"/>
      <c r="AF43" s="491"/>
      <c r="AG43" s="491"/>
      <c r="AH43" s="193"/>
    </row>
    <row r="44" spans="1:34" x14ac:dyDescent="0.25">
      <c r="A44" s="193"/>
      <c r="B44" s="491"/>
      <c r="C44" s="491"/>
      <c r="D44" s="491"/>
      <c r="E44" s="491"/>
      <c r="F44" s="495"/>
      <c r="G44" s="230"/>
      <c r="H44" s="491"/>
      <c r="I44" s="491"/>
      <c r="J44" s="491"/>
      <c r="K44" s="491"/>
      <c r="L44" s="491"/>
      <c r="M44" s="491"/>
      <c r="N44" s="491"/>
      <c r="O44" s="491"/>
      <c r="P44" s="491"/>
      <c r="Q44" s="497"/>
      <c r="R44" s="217"/>
      <c r="S44" s="218"/>
      <c r="T44" s="218"/>
      <c r="U44" s="219"/>
      <c r="V44" s="491"/>
      <c r="W44" s="491"/>
      <c r="X44" s="491"/>
      <c r="Y44" s="491"/>
      <c r="Z44" s="491"/>
      <c r="AA44" s="491"/>
      <c r="AB44" s="491"/>
      <c r="AC44" s="491"/>
      <c r="AD44" s="491"/>
      <c r="AE44" s="491"/>
      <c r="AF44" s="491"/>
      <c r="AG44" s="491"/>
      <c r="AH44" s="193"/>
    </row>
    <row r="45" spans="1:34" ht="15.75" thickBot="1" x14ac:dyDescent="0.3">
      <c r="A45" s="193"/>
      <c r="B45" s="491"/>
      <c r="C45" s="491"/>
      <c r="D45" s="491"/>
      <c r="E45" s="491"/>
      <c r="F45" s="495"/>
      <c r="G45" s="230"/>
      <c r="H45" s="491"/>
      <c r="I45" s="491"/>
      <c r="J45" s="491"/>
      <c r="K45" s="491"/>
      <c r="L45" s="491"/>
      <c r="M45" s="491"/>
      <c r="N45" s="491"/>
      <c r="O45" s="491"/>
      <c r="P45" s="491"/>
      <c r="Q45" s="497"/>
      <c r="R45" s="213"/>
      <c r="S45" s="220"/>
      <c r="T45" s="220"/>
      <c r="U45" s="214"/>
      <c r="V45" s="491"/>
      <c r="W45" s="491"/>
      <c r="X45" s="491"/>
      <c r="Y45" s="491"/>
      <c r="Z45" s="491"/>
      <c r="AA45" s="491"/>
      <c r="AB45" s="491"/>
      <c r="AC45" s="491"/>
      <c r="AD45" s="491"/>
      <c r="AE45" s="491"/>
      <c r="AF45" s="491"/>
      <c r="AG45" s="491"/>
      <c r="AH45" s="193"/>
    </row>
    <row r="46" spans="1:34" x14ac:dyDescent="0.25">
      <c r="A46" s="193"/>
      <c r="B46" s="492"/>
      <c r="C46" s="492"/>
      <c r="D46" s="492"/>
      <c r="E46" s="492"/>
      <c r="F46" s="496"/>
      <c r="G46" s="231"/>
      <c r="H46" s="492"/>
      <c r="I46" s="492"/>
      <c r="J46" s="492"/>
      <c r="K46" s="492"/>
      <c r="L46" s="492"/>
      <c r="M46" s="492"/>
      <c r="N46" s="492"/>
      <c r="O46" s="492"/>
      <c r="P46" s="492"/>
      <c r="Q46" s="492"/>
      <c r="R46" s="221"/>
      <c r="S46" s="493">
        <f>L42/12</f>
        <v>11.666666666666666</v>
      </c>
      <c r="T46" s="493"/>
      <c r="U46" s="222"/>
      <c r="V46" s="492"/>
      <c r="W46" s="492"/>
      <c r="X46" s="492"/>
      <c r="Y46" s="492"/>
      <c r="Z46" s="492"/>
      <c r="AA46" s="492"/>
      <c r="AB46" s="492"/>
      <c r="AC46" s="492"/>
      <c r="AD46" s="492"/>
      <c r="AE46" s="492"/>
      <c r="AF46" s="492"/>
      <c r="AG46" s="492"/>
      <c r="AH46" s="193"/>
    </row>
    <row r="47" spans="1:34" ht="15.75" thickBot="1" x14ac:dyDescent="0.3">
      <c r="A47" s="195"/>
      <c r="B47" s="200" t="s">
        <v>233</v>
      </c>
      <c r="C47" s="199" t="s">
        <v>283</v>
      </c>
      <c r="D47" s="197">
        <v>60</v>
      </c>
      <c r="E47" s="201">
        <v>8</v>
      </c>
      <c r="F47" s="202"/>
      <c r="G47" s="202">
        <v>8.33</v>
      </c>
      <c r="H47" s="202"/>
      <c r="I47" s="202"/>
      <c r="J47" s="202"/>
      <c r="K47" s="199"/>
      <c r="L47" s="199"/>
      <c r="M47" s="199"/>
      <c r="N47" s="199"/>
      <c r="O47" s="199"/>
      <c r="P47" s="199"/>
      <c r="Q47" s="198"/>
      <c r="R47" s="196"/>
      <c r="S47" s="196"/>
      <c r="T47" s="196"/>
      <c r="U47" s="196"/>
      <c r="V47" s="203"/>
      <c r="W47" s="202"/>
      <c r="X47" s="202"/>
      <c r="Y47" s="199"/>
      <c r="Z47" s="199"/>
      <c r="AA47" s="199"/>
      <c r="AB47" s="199"/>
      <c r="AC47" s="199"/>
      <c r="AD47" s="199"/>
      <c r="AE47" s="199"/>
      <c r="AF47" s="199"/>
      <c r="AG47" s="199"/>
      <c r="AH47" s="195"/>
    </row>
    <row r="48" spans="1:34" x14ac:dyDescent="0.25">
      <c r="A48" s="193"/>
      <c r="B48" s="490"/>
      <c r="C48" s="536" t="s">
        <v>648</v>
      </c>
      <c r="D48" s="490">
        <v>5</v>
      </c>
      <c r="E48" s="490">
        <v>0.625</v>
      </c>
      <c r="F48" s="490"/>
      <c r="G48" s="490">
        <f>8.33*12</f>
        <v>99.960000000000008</v>
      </c>
      <c r="H48" s="490"/>
      <c r="I48" s="490">
        <f>ROUNDUP(7/1,0)</f>
        <v>7</v>
      </c>
      <c r="J48" s="490">
        <v>1</v>
      </c>
      <c r="K48" s="490"/>
      <c r="L48" s="490">
        <f>8.33*12</f>
        <v>99.960000000000008</v>
      </c>
      <c r="M48" s="490"/>
      <c r="N48" s="490"/>
      <c r="O48" s="490"/>
      <c r="P48" s="490"/>
      <c r="Q48" s="490"/>
      <c r="R48" s="213"/>
      <c r="S48" s="502"/>
      <c r="T48" s="502"/>
      <c r="U48" s="214"/>
      <c r="V48" s="490">
        <f>SUM(R48:U52)</f>
        <v>8.33</v>
      </c>
      <c r="W48" s="490">
        <f>+SUM(K48:Q52)</f>
        <v>99.960000000000008</v>
      </c>
      <c r="X48" s="490">
        <f>(+I48*J48*W48)/12</f>
        <v>58.31</v>
      </c>
      <c r="Y48" s="490">
        <f t="shared" ref="Y48:AF48" si="18">IF(Y$3=$D48,$X48*Y$4,0)</f>
        <v>0</v>
      </c>
      <c r="Z48" s="490">
        <f t="shared" si="18"/>
        <v>0</v>
      </c>
      <c r="AA48" s="490">
        <f t="shared" si="18"/>
        <v>60.817329999999998</v>
      </c>
      <c r="AB48" s="490">
        <f t="shared" si="18"/>
        <v>0</v>
      </c>
      <c r="AC48" s="490">
        <f t="shared" si="18"/>
        <v>0</v>
      </c>
      <c r="AD48" s="490">
        <f t="shared" si="18"/>
        <v>0</v>
      </c>
      <c r="AE48" s="490">
        <f t="shared" si="18"/>
        <v>0</v>
      </c>
      <c r="AF48" s="490">
        <f t="shared" si="18"/>
        <v>0</v>
      </c>
      <c r="AG48" s="490">
        <f>SUM(Y48:AF48)</f>
        <v>60.817329999999998</v>
      </c>
      <c r="AH48" s="193"/>
    </row>
    <row r="49" spans="1:34" x14ac:dyDescent="0.25">
      <c r="A49" s="193"/>
      <c r="B49" s="491"/>
      <c r="C49" s="537"/>
      <c r="D49" s="491"/>
      <c r="E49" s="491"/>
      <c r="F49" s="491"/>
      <c r="G49" s="491"/>
      <c r="H49" s="491"/>
      <c r="I49" s="491"/>
      <c r="J49" s="491"/>
      <c r="K49" s="491"/>
      <c r="L49" s="491"/>
      <c r="M49" s="491"/>
      <c r="N49" s="491"/>
      <c r="O49" s="491"/>
      <c r="P49" s="491"/>
      <c r="Q49" s="491"/>
      <c r="R49" s="213"/>
      <c r="S49" s="215"/>
      <c r="T49" s="216"/>
      <c r="U49" s="214"/>
      <c r="V49" s="491"/>
      <c r="W49" s="491"/>
      <c r="X49" s="491"/>
      <c r="Y49" s="491"/>
      <c r="Z49" s="491"/>
      <c r="AA49" s="491"/>
      <c r="AB49" s="491"/>
      <c r="AC49" s="491"/>
      <c r="AD49" s="491"/>
      <c r="AE49" s="491"/>
      <c r="AF49" s="491"/>
      <c r="AG49" s="491"/>
      <c r="AH49" s="193"/>
    </row>
    <row r="50" spans="1:34" x14ac:dyDescent="0.25">
      <c r="A50" s="193"/>
      <c r="B50" s="491"/>
      <c r="C50" s="537"/>
      <c r="D50" s="491"/>
      <c r="E50" s="491"/>
      <c r="F50" s="491"/>
      <c r="G50" s="491"/>
      <c r="H50" s="491"/>
      <c r="I50" s="491"/>
      <c r="J50" s="491"/>
      <c r="K50" s="491"/>
      <c r="L50" s="491"/>
      <c r="M50" s="491"/>
      <c r="N50" s="491"/>
      <c r="O50" s="491"/>
      <c r="P50" s="491"/>
      <c r="Q50" s="491"/>
      <c r="R50" s="217"/>
      <c r="S50" s="218"/>
      <c r="T50" s="218"/>
      <c r="U50" s="219"/>
      <c r="V50" s="491"/>
      <c r="W50" s="491"/>
      <c r="X50" s="491"/>
      <c r="Y50" s="491"/>
      <c r="Z50" s="491"/>
      <c r="AA50" s="491"/>
      <c r="AB50" s="491"/>
      <c r="AC50" s="491"/>
      <c r="AD50" s="491"/>
      <c r="AE50" s="491"/>
      <c r="AF50" s="491"/>
      <c r="AG50" s="491"/>
      <c r="AH50" s="193"/>
    </row>
    <row r="51" spans="1:34" ht="15.75" thickBot="1" x14ac:dyDescent="0.3">
      <c r="A51" s="193"/>
      <c r="B51" s="491"/>
      <c r="C51" s="537"/>
      <c r="D51" s="491"/>
      <c r="E51" s="491"/>
      <c r="F51" s="491"/>
      <c r="G51" s="491"/>
      <c r="H51" s="491"/>
      <c r="I51" s="491"/>
      <c r="J51" s="491"/>
      <c r="K51" s="491"/>
      <c r="L51" s="491"/>
      <c r="M51" s="491"/>
      <c r="N51" s="491"/>
      <c r="O51" s="491"/>
      <c r="P51" s="491"/>
      <c r="Q51" s="491"/>
      <c r="R51" s="213"/>
      <c r="S51" s="220"/>
      <c r="T51" s="220"/>
      <c r="U51" s="214"/>
      <c r="V51" s="491"/>
      <c r="W51" s="491"/>
      <c r="X51" s="491"/>
      <c r="Y51" s="491"/>
      <c r="Z51" s="491"/>
      <c r="AA51" s="491"/>
      <c r="AB51" s="491"/>
      <c r="AC51" s="491"/>
      <c r="AD51" s="491"/>
      <c r="AE51" s="491"/>
      <c r="AF51" s="491"/>
      <c r="AG51" s="491"/>
      <c r="AH51" s="193"/>
    </row>
    <row r="52" spans="1:34" ht="15.75" thickBot="1" x14ac:dyDescent="0.3">
      <c r="A52" s="193"/>
      <c r="B52" s="492"/>
      <c r="C52" s="538"/>
      <c r="D52" s="492"/>
      <c r="E52" s="492"/>
      <c r="F52" s="492"/>
      <c r="G52" s="492"/>
      <c r="H52" s="492"/>
      <c r="I52" s="492"/>
      <c r="J52" s="492"/>
      <c r="K52" s="492"/>
      <c r="L52" s="492"/>
      <c r="M52" s="492"/>
      <c r="N52" s="492"/>
      <c r="O52" s="492"/>
      <c r="P52" s="492"/>
      <c r="Q52" s="492"/>
      <c r="R52" s="221"/>
      <c r="S52" s="493">
        <f>L48/12</f>
        <v>8.33</v>
      </c>
      <c r="T52" s="493"/>
      <c r="U52" s="222"/>
      <c r="V52" s="492"/>
      <c r="W52" s="492"/>
      <c r="X52" s="492"/>
      <c r="Y52" s="492"/>
      <c r="Z52" s="492"/>
      <c r="AA52" s="492"/>
      <c r="AB52" s="492"/>
      <c r="AC52" s="492"/>
      <c r="AD52" s="492"/>
      <c r="AE52" s="492"/>
      <c r="AF52" s="492"/>
      <c r="AG52" s="492"/>
      <c r="AH52" s="193"/>
    </row>
    <row r="53" spans="1:34" x14ac:dyDescent="0.25">
      <c r="A53" s="193"/>
      <c r="B53" s="490"/>
      <c r="C53" s="536" t="s">
        <v>649</v>
      </c>
      <c r="D53" s="490">
        <v>5</v>
      </c>
      <c r="E53" s="490">
        <v>0.625</v>
      </c>
      <c r="F53" s="490"/>
      <c r="G53" s="490">
        <f>7*12</f>
        <v>84</v>
      </c>
      <c r="H53" s="490"/>
      <c r="I53" s="490">
        <f>ROUNDUP(8.33/1,0)</f>
        <v>9</v>
      </c>
      <c r="J53" s="490">
        <v>1</v>
      </c>
      <c r="K53" s="490"/>
      <c r="L53" s="490">
        <f>7*12</f>
        <v>84</v>
      </c>
      <c r="M53" s="490"/>
      <c r="N53" s="490"/>
      <c r="O53" s="490"/>
      <c r="P53" s="490"/>
      <c r="Q53" s="490"/>
      <c r="R53" s="213"/>
      <c r="S53" s="502"/>
      <c r="T53" s="502"/>
      <c r="U53" s="214"/>
      <c r="V53" s="490">
        <f>SUM(R53:U57)</f>
        <v>7</v>
      </c>
      <c r="W53" s="490">
        <f>+SUM(K53:Q57)</f>
        <v>84</v>
      </c>
      <c r="X53" s="490">
        <f>(+I53*J53*W53)/12</f>
        <v>63</v>
      </c>
      <c r="Y53" s="490">
        <f t="shared" ref="Y53:AF53" si="19">IF(Y$3=$D53,$X53*Y$4,0)</f>
        <v>0</v>
      </c>
      <c r="Z53" s="490">
        <f t="shared" si="19"/>
        <v>0</v>
      </c>
      <c r="AA53" s="490">
        <f t="shared" si="19"/>
        <v>65.708999999999989</v>
      </c>
      <c r="AB53" s="490">
        <f t="shared" si="19"/>
        <v>0</v>
      </c>
      <c r="AC53" s="490">
        <f t="shared" si="19"/>
        <v>0</v>
      </c>
      <c r="AD53" s="490">
        <f t="shared" si="19"/>
        <v>0</v>
      </c>
      <c r="AE53" s="490">
        <f t="shared" si="19"/>
        <v>0</v>
      </c>
      <c r="AF53" s="490">
        <f t="shared" si="19"/>
        <v>0</v>
      </c>
      <c r="AG53" s="490">
        <f t="shared" ref="AG53" si="20">SUM(Y53:AF53)</f>
        <v>65.708999999999989</v>
      </c>
      <c r="AH53" s="193"/>
    </row>
    <row r="54" spans="1:34" x14ac:dyDescent="0.25">
      <c r="A54" s="193"/>
      <c r="B54" s="491"/>
      <c r="C54" s="537"/>
      <c r="D54" s="491"/>
      <c r="E54" s="491"/>
      <c r="F54" s="491"/>
      <c r="G54" s="491"/>
      <c r="H54" s="491"/>
      <c r="I54" s="491"/>
      <c r="J54" s="491"/>
      <c r="K54" s="491"/>
      <c r="L54" s="491"/>
      <c r="M54" s="491"/>
      <c r="N54" s="491"/>
      <c r="O54" s="491"/>
      <c r="P54" s="491"/>
      <c r="Q54" s="491"/>
      <c r="R54" s="213"/>
      <c r="S54" s="215"/>
      <c r="T54" s="216"/>
      <c r="U54" s="214"/>
      <c r="V54" s="491"/>
      <c r="W54" s="491"/>
      <c r="X54" s="491"/>
      <c r="Y54" s="491"/>
      <c r="Z54" s="491"/>
      <c r="AA54" s="491"/>
      <c r="AB54" s="491"/>
      <c r="AC54" s="491"/>
      <c r="AD54" s="491"/>
      <c r="AE54" s="491"/>
      <c r="AF54" s="491"/>
      <c r="AG54" s="491"/>
      <c r="AH54" s="193"/>
    </row>
    <row r="55" spans="1:34" x14ac:dyDescent="0.25">
      <c r="A55" s="193"/>
      <c r="B55" s="491"/>
      <c r="C55" s="537"/>
      <c r="D55" s="491"/>
      <c r="E55" s="491"/>
      <c r="F55" s="491"/>
      <c r="G55" s="491"/>
      <c r="H55" s="491"/>
      <c r="I55" s="491"/>
      <c r="J55" s="491"/>
      <c r="K55" s="491"/>
      <c r="L55" s="491"/>
      <c r="M55" s="491"/>
      <c r="N55" s="491"/>
      <c r="O55" s="491"/>
      <c r="P55" s="491"/>
      <c r="Q55" s="491"/>
      <c r="R55" s="217"/>
      <c r="S55" s="218"/>
      <c r="T55" s="218"/>
      <c r="U55" s="219"/>
      <c r="V55" s="491"/>
      <c r="W55" s="491"/>
      <c r="X55" s="491"/>
      <c r="Y55" s="491"/>
      <c r="Z55" s="491"/>
      <c r="AA55" s="491"/>
      <c r="AB55" s="491"/>
      <c r="AC55" s="491"/>
      <c r="AD55" s="491"/>
      <c r="AE55" s="491"/>
      <c r="AF55" s="491"/>
      <c r="AG55" s="491"/>
      <c r="AH55" s="193"/>
    </row>
    <row r="56" spans="1:34" ht="15.75" thickBot="1" x14ac:dyDescent="0.3">
      <c r="A56" s="193"/>
      <c r="B56" s="491"/>
      <c r="C56" s="537"/>
      <c r="D56" s="491"/>
      <c r="E56" s="491"/>
      <c r="F56" s="491"/>
      <c r="G56" s="491"/>
      <c r="H56" s="491"/>
      <c r="I56" s="491"/>
      <c r="J56" s="491"/>
      <c r="K56" s="491"/>
      <c r="L56" s="491"/>
      <c r="M56" s="491"/>
      <c r="N56" s="491"/>
      <c r="O56" s="491"/>
      <c r="P56" s="491"/>
      <c r="Q56" s="491"/>
      <c r="R56" s="213"/>
      <c r="S56" s="220"/>
      <c r="T56" s="220"/>
      <c r="U56" s="214"/>
      <c r="V56" s="491"/>
      <c r="W56" s="491"/>
      <c r="X56" s="491"/>
      <c r="Y56" s="491"/>
      <c r="Z56" s="491"/>
      <c r="AA56" s="491"/>
      <c r="AB56" s="491"/>
      <c r="AC56" s="491"/>
      <c r="AD56" s="491"/>
      <c r="AE56" s="491"/>
      <c r="AF56" s="491"/>
      <c r="AG56" s="491"/>
      <c r="AH56" s="193"/>
    </row>
    <row r="57" spans="1:34" ht="15.75" thickBot="1" x14ac:dyDescent="0.3">
      <c r="A57" s="193"/>
      <c r="B57" s="492"/>
      <c r="C57" s="538"/>
      <c r="D57" s="492"/>
      <c r="E57" s="492"/>
      <c r="F57" s="492"/>
      <c r="G57" s="492"/>
      <c r="H57" s="492"/>
      <c r="I57" s="492"/>
      <c r="J57" s="492"/>
      <c r="K57" s="492"/>
      <c r="L57" s="492"/>
      <c r="M57" s="492"/>
      <c r="N57" s="492"/>
      <c r="O57" s="492"/>
      <c r="P57" s="492"/>
      <c r="Q57" s="492"/>
      <c r="R57" s="221"/>
      <c r="S57" s="493">
        <f>L53/12</f>
        <v>7</v>
      </c>
      <c r="T57" s="493"/>
      <c r="U57" s="222"/>
      <c r="V57" s="492"/>
      <c r="W57" s="492"/>
      <c r="X57" s="492"/>
      <c r="Y57" s="492"/>
      <c r="Z57" s="492"/>
      <c r="AA57" s="492"/>
      <c r="AB57" s="492"/>
      <c r="AC57" s="492"/>
      <c r="AD57" s="492"/>
      <c r="AE57" s="492"/>
      <c r="AF57" s="492"/>
      <c r="AG57" s="492"/>
      <c r="AH57" s="193"/>
    </row>
    <row r="58" spans="1:34" x14ac:dyDescent="0.25">
      <c r="A58" s="193"/>
      <c r="B58" s="490"/>
      <c r="C58" s="536" t="s">
        <v>650</v>
      </c>
      <c r="D58" s="490">
        <v>5</v>
      </c>
      <c r="E58" s="490">
        <v>0.625</v>
      </c>
      <c r="F58" s="490"/>
      <c r="G58" s="490">
        <f>7*12</f>
        <v>84</v>
      </c>
      <c r="H58" s="490"/>
      <c r="I58" s="490">
        <f>ROUNDUP(4.29/0.833,0)</f>
        <v>6</v>
      </c>
      <c r="J58" s="490">
        <v>1</v>
      </c>
      <c r="K58" s="490"/>
      <c r="L58" s="490">
        <f>G58</f>
        <v>84</v>
      </c>
      <c r="M58" s="490"/>
      <c r="N58" s="490"/>
      <c r="O58" s="490"/>
      <c r="P58" s="490"/>
      <c r="Q58" s="490"/>
      <c r="R58" s="213"/>
      <c r="S58" s="502"/>
      <c r="T58" s="502"/>
      <c r="U58" s="214"/>
      <c r="V58" s="490">
        <f>SUM(R58:U62)</f>
        <v>7</v>
      </c>
      <c r="W58" s="490">
        <f>+SUM(K58:Q62)</f>
        <v>84</v>
      </c>
      <c r="X58" s="490">
        <f>(+I58*J58*W58)/12</f>
        <v>42</v>
      </c>
      <c r="Y58" s="490">
        <f t="shared" ref="Y58:AF58" si="21">IF(Y$3=$D58,$X58*Y$4,0)</f>
        <v>0</v>
      </c>
      <c r="Z58" s="490">
        <f t="shared" si="21"/>
        <v>0</v>
      </c>
      <c r="AA58" s="490">
        <f t="shared" si="21"/>
        <v>43.805999999999997</v>
      </c>
      <c r="AB58" s="490">
        <f t="shared" si="21"/>
        <v>0</v>
      </c>
      <c r="AC58" s="490">
        <f t="shared" si="21"/>
        <v>0</v>
      </c>
      <c r="AD58" s="490">
        <f t="shared" si="21"/>
        <v>0</v>
      </c>
      <c r="AE58" s="490">
        <f t="shared" si="21"/>
        <v>0</v>
      </c>
      <c r="AF58" s="490">
        <f t="shared" si="21"/>
        <v>0</v>
      </c>
      <c r="AG58" s="490">
        <f t="shared" ref="AG58" si="22">SUM(Y58:AF58)</f>
        <v>43.805999999999997</v>
      </c>
      <c r="AH58" s="193"/>
    </row>
    <row r="59" spans="1:34" x14ac:dyDescent="0.25">
      <c r="A59" s="193"/>
      <c r="B59" s="491"/>
      <c r="C59" s="537"/>
      <c r="D59" s="491"/>
      <c r="E59" s="491"/>
      <c r="F59" s="491"/>
      <c r="G59" s="491"/>
      <c r="H59" s="491"/>
      <c r="I59" s="491"/>
      <c r="J59" s="491"/>
      <c r="K59" s="491"/>
      <c r="L59" s="491"/>
      <c r="M59" s="491"/>
      <c r="N59" s="491"/>
      <c r="O59" s="491"/>
      <c r="P59" s="491"/>
      <c r="Q59" s="491"/>
      <c r="R59" s="213"/>
      <c r="S59" s="215"/>
      <c r="T59" s="216"/>
      <c r="U59" s="214"/>
      <c r="V59" s="491"/>
      <c r="W59" s="491"/>
      <c r="X59" s="491"/>
      <c r="Y59" s="491"/>
      <c r="Z59" s="491"/>
      <c r="AA59" s="491"/>
      <c r="AB59" s="491"/>
      <c r="AC59" s="491"/>
      <c r="AD59" s="491"/>
      <c r="AE59" s="491"/>
      <c r="AF59" s="491"/>
      <c r="AG59" s="491"/>
      <c r="AH59" s="193"/>
    </row>
    <row r="60" spans="1:34" x14ac:dyDescent="0.25">
      <c r="A60" s="193"/>
      <c r="B60" s="491"/>
      <c r="C60" s="537"/>
      <c r="D60" s="491"/>
      <c r="E60" s="491"/>
      <c r="F60" s="491"/>
      <c r="G60" s="491"/>
      <c r="H60" s="491"/>
      <c r="I60" s="491"/>
      <c r="J60" s="491"/>
      <c r="K60" s="491"/>
      <c r="L60" s="491"/>
      <c r="M60" s="491"/>
      <c r="N60" s="491"/>
      <c r="O60" s="491"/>
      <c r="P60" s="491"/>
      <c r="Q60" s="491"/>
      <c r="R60" s="217"/>
      <c r="S60" s="218"/>
      <c r="T60" s="218"/>
      <c r="U60" s="219"/>
      <c r="V60" s="491"/>
      <c r="W60" s="491"/>
      <c r="X60" s="491"/>
      <c r="Y60" s="491"/>
      <c r="Z60" s="491"/>
      <c r="AA60" s="491"/>
      <c r="AB60" s="491"/>
      <c r="AC60" s="491"/>
      <c r="AD60" s="491"/>
      <c r="AE60" s="491"/>
      <c r="AF60" s="491"/>
      <c r="AG60" s="491"/>
      <c r="AH60" s="193"/>
    </row>
    <row r="61" spans="1:34" ht="15.75" thickBot="1" x14ac:dyDescent="0.3">
      <c r="A61" s="193"/>
      <c r="B61" s="491"/>
      <c r="C61" s="537"/>
      <c r="D61" s="491"/>
      <c r="E61" s="491"/>
      <c r="F61" s="491"/>
      <c r="G61" s="491"/>
      <c r="H61" s="491"/>
      <c r="I61" s="491"/>
      <c r="J61" s="491"/>
      <c r="K61" s="491"/>
      <c r="L61" s="491"/>
      <c r="M61" s="491"/>
      <c r="N61" s="491"/>
      <c r="O61" s="491"/>
      <c r="P61" s="491"/>
      <c r="Q61" s="491"/>
      <c r="R61" s="213"/>
      <c r="S61" s="220"/>
      <c r="T61" s="220"/>
      <c r="U61" s="214"/>
      <c r="V61" s="491"/>
      <c r="W61" s="491"/>
      <c r="X61" s="491"/>
      <c r="Y61" s="491"/>
      <c r="Z61" s="491"/>
      <c r="AA61" s="491"/>
      <c r="AB61" s="491"/>
      <c r="AC61" s="491"/>
      <c r="AD61" s="491"/>
      <c r="AE61" s="491"/>
      <c r="AF61" s="491"/>
      <c r="AG61" s="491"/>
      <c r="AH61" s="193"/>
    </row>
    <row r="62" spans="1:34" ht="15.75" thickBot="1" x14ac:dyDescent="0.3">
      <c r="A62" s="193"/>
      <c r="B62" s="492"/>
      <c r="C62" s="538"/>
      <c r="D62" s="492"/>
      <c r="E62" s="492"/>
      <c r="F62" s="492"/>
      <c r="G62" s="492"/>
      <c r="H62" s="492"/>
      <c r="I62" s="492"/>
      <c r="J62" s="492"/>
      <c r="K62" s="492"/>
      <c r="L62" s="492"/>
      <c r="M62" s="492"/>
      <c r="N62" s="492"/>
      <c r="O62" s="492"/>
      <c r="P62" s="492"/>
      <c r="Q62" s="492"/>
      <c r="R62" s="221"/>
      <c r="S62" s="493">
        <f>L58/12</f>
        <v>7</v>
      </c>
      <c r="T62" s="493"/>
      <c r="U62" s="222"/>
      <c r="V62" s="492"/>
      <c r="W62" s="492"/>
      <c r="X62" s="492"/>
      <c r="Y62" s="492"/>
      <c r="Z62" s="492"/>
      <c r="AA62" s="492"/>
      <c r="AB62" s="492"/>
      <c r="AC62" s="492"/>
      <c r="AD62" s="492"/>
      <c r="AE62" s="492"/>
      <c r="AF62" s="492"/>
      <c r="AG62" s="492"/>
      <c r="AH62" s="193"/>
    </row>
    <row r="63" spans="1:34" x14ac:dyDescent="0.25">
      <c r="A63" s="193"/>
      <c r="B63" s="490"/>
      <c r="C63" s="536" t="s">
        <v>651</v>
      </c>
      <c r="D63" s="490">
        <v>5</v>
      </c>
      <c r="E63" s="490">
        <v>0.625</v>
      </c>
      <c r="F63" s="490"/>
      <c r="G63" s="490">
        <f>4.29*12</f>
        <v>51.480000000000004</v>
      </c>
      <c r="H63" s="490"/>
      <c r="I63" s="490">
        <f>ROUNDUP(7/0.833,0)</f>
        <v>9</v>
      </c>
      <c r="J63" s="490">
        <v>1</v>
      </c>
      <c r="K63" s="490"/>
      <c r="L63" s="490">
        <f>G63</f>
        <v>51.480000000000004</v>
      </c>
      <c r="M63" s="490"/>
      <c r="N63" s="490"/>
      <c r="O63" s="490"/>
      <c r="P63" s="490"/>
      <c r="Q63" s="490"/>
      <c r="R63" s="213"/>
      <c r="S63" s="502"/>
      <c r="T63" s="502"/>
      <c r="U63" s="214"/>
      <c r="V63" s="490">
        <f>SUM(R63:U67)</f>
        <v>4.29</v>
      </c>
      <c r="W63" s="490">
        <f>+SUM(K63:Q67)</f>
        <v>51.480000000000004</v>
      </c>
      <c r="X63" s="490">
        <f>(+I63*J63*W63)/12</f>
        <v>38.610000000000007</v>
      </c>
      <c r="Y63" s="490">
        <f t="shared" ref="Y63:AF63" si="23">IF(Y$3=$D63,$X63*Y$4,0)</f>
        <v>0</v>
      </c>
      <c r="Z63" s="490">
        <f t="shared" si="23"/>
        <v>0</v>
      </c>
      <c r="AA63" s="490">
        <f t="shared" si="23"/>
        <v>40.270230000000005</v>
      </c>
      <c r="AB63" s="490">
        <f t="shared" si="23"/>
        <v>0</v>
      </c>
      <c r="AC63" s="490">
        <f t="shared" si="23"/>
        <v>0</v>
      </c>
      <c r="AD63" s="490">
        <f t="shared" si="23"/>
        <v>0</v>
      </c>
      <c r="AE63" s="490">
        <f t="shared" si="23"/>
        <v>0</v>
      </c>
      <c r="AF63" s="490">
        <f t="shared" si="23"/>
        <v>0</v>
      </c>
      <c r="AG63" s="490">
        <f t="shared" ref="AG63" si="24">SUM(Y63:AF63)</f>
        <v>40.270230000000005</v>
      </c>
      <c r="AH63" s="193"/>
    </row>
    <row r="64" spans="1:34" x14ac:dyDescent="0.25">
      <c r="A64" s="193"/>
      <c r="B64" s="491"/>
      <c r="C64" s="537"/>
      <c r="D64" s="491"/>
      <c r="E64" s="491"/>
      <c r="F64" s="491"/>
      <c r="G64" s="491"/>
      <c r="H64" s="491"/>
      <c r="I64" s="491"/>
      <c r="J64" s="491"/>
      <c r="K64" s="491"/>
      <c r="L64" s="491"/>
      <c r="M64" s="491"/>
      <c r="N64" s="491"/>
      <c r="O64" s="491"/>
      <c r="P64" s="491"/>
      <c r="Q64" s="491"/>
      <c r="R64" s="213"/>
      <c r="S64" s="215"/>
      <c r="T64" s="216"/>
      <c r="U64" s="214"/>
      <c r="V64" s="491"/>
      <c r="W64" s="491"/>
      <c r="X64" s="491"/>
      <c r="Y64" s="491"/>
      <c r="Z64" s="491"/>
      <c r="AA64" s="491"/>
      <c r="AB64" s="491"/>
      <c r="AC64" s="491"/>
      <c r="AD64" s="491"/>
      <c r="AE64" s="491"/>
      <c r="AF64" s="491"/>
      <c r="AG64" s="491"/>
      <c r="AH64" s="193"/>
    </row>
    <row r="65" spans="1:34" x14ac:dyDescent="0.25">
      <c r="A65" s="193"/>
      <c r="B65" s="491"/>
      <c r="C65" s="537"/>
      <c r="D65" s="491"/>
      <c r="E65" s="491"/>
      <c r="F65" s="491"/>
      <c r="G65" s="491"/>
      <c r="H65" s="491"/>
      <c r="I65" s="491"/>
      <c r="J65" s="491"/>
      <c r="K65" s="491"/>
      <c r="L65" s="491"/>
      <c r="M65" s="491"/>
      <c r="N65" s="491"/>
      <c r="O65" s="491"/>
      <c r="P65" s="491"/>
      <c r="Q65" s="491"/>
      <c r="R65" s="217"/>
      <c r="S65" s="218"/>
      <c r="T65" s="218"/>
      <c r="U65" s="219"/>
      <c r="V65" s="491"/>
      <c r="W65" s="491"/>
      <c r="X65" s="491"/>
      <c r="Y65" s="491"/>
      <c r="Z65" s="491"/>
      <c r="AA65" s="491"/>
      <c r="AB65" s="491"/>
      <c r="AC65" s="491"/>
      <c r="AD65" s="491"/>
      <c r="AE65" s="491"/>
      <c r="AF65" s="491"/>
      <c r="AG65" s="491"/>
      <c r="AH65" s="193"/>
    </row>
    <row r="66" spans="1:34" ht="15.75" thickBot="1" x14ac:dyDescent="0.3">
      <c r="A66" s="193"/>
      <c r="B66" s="491"/>
      <c r="C66" s="537"/>
      <c r="D66" s="491"/>
      <c r="E66" s="491"/>
      <c r="F66" s="491"/>
      <c r="G66" s="491"/>
      <c r="H66" s="491"/>
      <c r="I66" s="491"/>
      <c r="J66" s="491"/>
      <c r="K66" s="491"/>
      <c r="L66" s="491"/>
      <c r="M66" s="491"/>
      <c r="N66" s="491"/>
      <c r="O66" s="491"/>
      <c r="P66" s="491"/>
      <c r="Q66" s="491"/>
      <c r="R66" s="213"/>
      <c r="S66" s="220"/>
      <c r="T66" s="220"/>
      <c r="U66" s="214"/>
      <c r="V66" s="491"/>
      <c r="W66" s="491"/>
      <c r="X66" s="491"/>
      <c r="Y66" s="491"/>
      <c r="Z66" s="491"/>
      <c r="AA66" s="491"/>
      <c r="AB66" s="491"/>
      <c r="AC66" s="491"/>
      <c r="AD66" s="491"/>
      <c r="AE66" s="491"/>
      <c r="AF66" s="491"/>
      <c r="AG66" s="491"/>
      <c r="AH66" s="193"/>
    </row>
    <row r="67" spans="1:34" ht="15.75" thickBot="1" x14ac:dyDescent="0.3">
      <c r="A67" s="193"/>
      <c r="B67" s="492"/>
      <c r="C67" s="538"/>
      <c r="D67" s="492"/>
      <c r="E67" s="492"/>
      <c r="F67" s="492"/>
      <c r="G67" s="492"/>
      <c r="H67" s="492"/>
      <c r="I67" s="492"/>
      <c r="J67" s="492"/>
      <c r="K67" s="492"/>
      <c r="L67" s="492"/>
      <c r="M67" s="492"/>
      <c r="N67" s="492"/>
      <c r="O67" s="492"/>
      <c r="P67" s="492"/>
      <c r="Q67" s="492"/>
      <c r="R67" s="221"/>
      <c r="S67" s="493">
        <f>L63/12</f>
        <v>4.29</v>
      </c>
      <c r="T67" s="493"/>
      <c r="U67" s="222"/>
      <c r="V67" s="492"/>
      <c r="W67" s="492"/>
      <c r="X67" s="492"/>
      <c r="Y67" s="492"/>
      <c r="Z67" s="492"/>
      <c r="AA67" s="492"/>
      <c r="AB67" s="492"/>
      <c r="AC67" s="492"/>
      <c r="AD67" s="492"/>
      <c r="AE67" s="492"/>
      <c r="AF67" s="492"/>
      <c r="AG67" s="492"/>
      <c r="AH67" s="193"/>
    </row>
    <row r="68" spans="1:34" x14ac:dyDescent="0.25">
      <c r="A68" s="193"/>
      <c r="B68" s="490"/>
      <c r="C68" s="536" t="s">
        <v>652</v>
      </c>
      <c r="D68" s="490">
        <v>5</v>
      </c>
      <c r="E68" s="490">
        <v>0.625</v>
      </c>
      <c r="F68" s="490"/>
      <c r="G68" s="490">
        <f>(22.3333333333333*12-2-2)</f>
        <v>263.9999999999996</v>
      </c>
      <c r="H68" s="490"/>
      <c r="I68" s="490">
        <f>ROUNDUP(8.33/0.833,0)</f>
        <v>10</v>
      </c>
      <c r="J68" s="490">
        <v>1</v>
      </c>
      <c r="K68" s="490"/>
      <c r="L68" s="490">
        <f>18.33*10</f>
        <v>183.29999999999998</v>
      </c>
      <c r="M68" s="490"/>
      <c r="N68" s="490"/>
      <c r="O68" s="490"/>
      <c r="P68" s="490"/>
      <c r="Q68" s="490"/>
      <c r="R68" s="213"/>
      <c r="S68" s="502"/>
      <c r="T68" s="502"/>
      <c r="U68" s="214"/>
      <c r="V68" s="490">
        <f>SUM(R68:U72)</f>
        <v>15.274999999999999</v>
      </c>
      <c r="W68" s="490">
        <f>+SUM(K68:Q72)</f>
        <v>183.29999999999998</v>
      </c>
      <c r="X68" s="490">
        <f>(+I68*J68*W68)/12</f>
        <v>152.74999999999997</v>
      </c>
      <c r="Y68" s="490">
        <f t="shared" ref="Y68:AF68" si="25">IF(Y$3=$D68,$X68*Y$4,0)</f>
        <v>0</v>
      </c>
      <c r="Z68" s="490">
        <f t="shared" si="25"/>
        <v>0</v>
      </c>
      <c r="AA68" s="490">
        <f t="shared" si="25"/>
        <v>159.31824999999995</v>
      </c>
      <c r="AB68" s="490">
        <f t="shared" si="25"/>
        <v>0</v>
      </c>
      <c r="AC68" s="490">
        <f t="shared" si="25"/>
        <v>0</v>
      </c>
      <c r="AD68" s="490">
        <f t="shared" si="25"/>
        <v>0</v>
      </c>
      <c r="AE68" s="490">
        <f t="shared" si="25"/>
        <v>0</v>
      </c>
      <c r="AF68" s="490">
        <f t="shared" si="25"/>
        <v>0</v>
      </c>
      <c r="AG68" s="490">
        <f>SUM(Y68:AF68)</f>
        <v>159.31824999999995</v>
      </c>
      <c r="AH68" s="193"/>
    </row>
    <row r="69" spans="1:34" x14ac:dyDescent="0.25">
      <c r="A69" s="193"/>
      <c r="B69" s="491"/>
      <c r="C69" s="537"/>
      <c r="D69" s="491"/>
      <c r="E69" s="491"/>
      <c r="F69" s="491"/>
      <c r="G69" s="491"/>
      <c r="H69" s="491"/>
      <c r="I69" s="491"/>
      <c r="J69" s="491"/>
      <c r="K69" s="491"/>
      <c r="L69" s="491"/>
      <c r="M69" s="491"/>
      <c r="N69" s="491"/>
      <c r="O69" s="491"/>
      <c r="P69" s="491"/>
      <c r="Q69" s="491"/>
      <c r="R69" s="213"/>
      <c r="S69" s="215"/>
      <c r="T69" s="216"/>
      <c r="U69" s="214"/>
      <c r="V69" s="491"/>
      <c r="W69" s="491"/>
      <c r="X69" s="491"/>
      <c r="Y69" s="491"/>
      <c r="Z69" s="491"/>
      <c r="AA69" s="491"/>
      <c r="AB69" s="491"/>
      <c r="AC69" s="491"/>
      <c r="AD69" s="491"/>
      <c r="AE69" s="491"/>
      <c r="AF69" s="491"/>
      <c r="AG69" s="491"/>
      <c r="AH69" s="193"/>
    </row>
    <row r="70" spans="1:34" x14ac:dyDescent="0.25">
      <c r="A70" s="193"/>
      <c r="B70" s="491"/>
      <c r="C70" s="537"/>
      <c r="D70" s="491"/>
      <c r="E70" s="491"/>
      <c r="F70" s="491"/>
      <c r="G70" s="491"/>
      <c r="H70" s="491"/>
      <c r="I70" s="491"/>
      <c r="J70" s="491"/>
      <c r="K70" s="491"/>
      <c r="L70" s="491"/>
      <c r="M70" s="491"/>
      <c r="N70" s="491"/>
      <c r="O70" s="491"/>
      <c r="P70" s="491"/>
      <c r="Q70" s="491"/>
      <c r="R70" s="217"/>
      <c r="S70" s="218"/>
      <c r="T70" s="218"/>
      <c r="U70" s="219"/>
      <c r="V70" s="491"/>
      <c r="W70" s="491"/>
      <c r="X70" s="491"/>
      <c r="Y70" s="491"/>
      <c r="Z70" s="491"/>
      <c r="AA70" s="491"/>
      <c r="AB70" s="491"/>
      <c r="AC70" s="491"/>
      <c r="AD70" s="491"/>
      <c r="AE70" s="491"/>
      <c r="AF70" s="491"/>
      <c r="AG70" s="491"/>
      <c r="AH70" s="193"/>
    </row>
    <row r="71" spans="1:34" ht="15.75" thickBot="1" x14ac:dyDescent="0.3">
      <c r="A71" s="193"/>
      <c r="B71" s="491"/>
      <c r="C71" s="537"/>
      <c r="D71" s="491"/>
      <c r="E71" s="491"/>
      <c r="F71" s="491"/>
      <c r="G71" s="491"/>
      <c r="H71" s="491"/>
      <c r="I71" s="491"/>
      <c r="J71" s="491"/>
      <c r="K71" s="491"/>
      <c r="L71" s="491"/>
      <c r="M71" s="491"/>
      <c r="N71" s="491"/>
      <c r="O71" s="491"/>
      <c r="P71" s="491"/>
      <c r="Q71" s="491"/>
      <c r="R71" s="213"/>
      <c r="S71" s="220"/>
      <c r="T71" s="220"/>
      <c r="U71" s="214"/>
      <c r="V71" s="491"/>
      <c r="W71" s="491"/>
      <c r="X71" s="491"/>
      <c r="Y71" s="491"/>
      <c r="Z71" s="491"/>
      <c r="AA71" s="491"/>
      <c r="AB71" s="491"/>
      <c r="AC71" s="491"/>
      <c r="AD71" s="491"/>
      <c r="AE71" s="491"/>
      <c r="AF71" s="491"/>
      <c r="AG71" s="491"/>
      <c r="AH71" s="193"/>
    </row>
    <row r="72" spans="1:34" ht="15.75" thickBot="1" x14ac:dyDescent="0.3">
      <c r="A72" s="193"/>
      <c r="B72" s="492"/>
      <c r="C72" s="538"/>
      <c r="D72" s="492"/>
      <c r="E72" s="492"/>
      <c r="F72" s="492"/>
      <c r="G72" s="492"/>
      <c r="H72" s="492"/>
      <c r="I72" s="492"/>
      <c r="J72" s="492"/>
      <c r="K72" s="492"/>
      <c r="L72" s="492"/>
      <c r="M72" s="492"/>
      <c r="N72" s="492"/>
      <c r="O72" s="492"/>
      <c r="P72" s="492"/>
      <c r="Q72" s="492"/>
      <c r="R72" s="221"/>
      <c r="S72" s="493">
        <f>L68/12</f>
        <v>15.274999999999999</v>
      </c>
      <c r="T72" s="493"/>
      <c r="U72" s="222"/>
      <c r="V72" s="492"/>
      <c r="W72" s="492"/>
      <c r="X72" s="492"/>
      <c r="Y72" s="492"/>
      <c r="Z72" s="492"/>
      <c r="AA72" s="492"/>
      <c r="AB72" s="492"/>
      <c r="AC72" s="492"/>
      <c r="AD72" s="492"/>
      <c r="AE72" s="492"/>
      <c r="AF72" s="492"/>
      <c r="AG72" s="492"/>
      <c r="AH72" s="193"/>
    </row>
    <row r="73" spans="1:34" x14ac:dyDescent="0.25">
      <c r="A73" s="193"/>
      <c r="B73" s="490"/>
      <c r="C73" s="536" t="s">
        <v>653</v>
      </c>
      <c r="D73" s="490">
        <v>5</v>
      </c>
      <c r="E73" s="490">
        <v>0.625</v>
      </c>
      <c r="F73" s="490"/>
      <c r="G73" s="490">
        <f>(12.3333333333333*12)-2-2</f>
        <v>143.9999999999996</v>
      </c>
      <c r="H73" s="490"/>
      <c r="I73" s="490">
        <f>ROUNDUP(18.33/1.67,0)</f>
        <v>11</v>
      </c>
      <c r="J73" s="490">
        <v>1</v>
      </c>
      <c r="K73" s="490"/>
      <c r="L73" s="490">
        <f>8.33*12</f>
        <v>99.960000000000008</v>
      </c>
      <c r="M73" s="490"/>
      <c r="N73" s="490"/>
      <c r="O73" s="490"/>
      <c r="P73" s="490"/>
      <c r="Q73" s="490"/>
      <c r="R73" s="213"/>
      <c r="S73" s="502"/>
      <c r="T73" s="502"/>
      <c r="U73" s="214"/>
      <c r="V73" s="490">
        <f>SUM(R73:U77)</f>
        <v>8.33</v>
      </c>
      <c r="W73" s="490">
        <f>+SUM(K73:Q77)</f>
        <v>99.960000000000008</v>
      </c>
      <c r="X73" s="490">
        <f>(+I73*J73*W73)/12</f>
        <v>91.63000000000001</v>
      </c>
      <c r="Y73" s="490">
        <f t="shared" ref="Y73:AF73" si="26">IF(Y$3=$D73,$X73*Y$4,0)</f>
        <v>0</v>
      </c>
      <c r="Z73" s="490">
        <f t="shared" si="26"/>
        <v>0</v>
      </c>
      <c r="AA73" s="490">
        <f t="shared" si="26"/>
        <v>95.570090000000008</v>
      </c>
      <c r="AB73" s="490">
        <f t="shared" si="26"/>
        <v>0</v>
      </c>
      <c r="AC73" s="490">
        <f t="shared" si="26"/>
        <v>0</v>
      </c>
      <c r="AD73" s="490">
        <f t="shared" si="26"/>
        <v>0</v>
      </c>
      <c r="AE73" s="490">
        <f t="shared" si="26"/>
        <v>0</v>
      </c>
      <c r="AF73" s="490">
        <f t="shared" si="26"/>
        <v>0</v>
      </c>
      <c r="AG73" s="490">
        <f t="shared" ref="AG73" si="27">SUM(Y73:AF73)</f>
        <v>95.570090000000008</v>
      </c>
      <c r="AH73" s="193"/>
    </row>
    <row r="74" spans="1:34" x14ac:dyDescent="0.25">
      <c r="A74" s="193"/>
      <c r="B74" s="491"/>
      <c r="C74" s="537"/>
      <c r="D74" s="491"/>
      <c r="E74" s="491"/>
      <c r="F74" s="491"/>
      <c r="G74" s="491"/>
      <c r="H74" s="491"/>
      <c r="I74" s="491"/>
      <c r="J74" s="491"/>
      <c r="K74" s="491"/>
      <c r="L74" s="491"/>
      <c r="M74" s="491"/>
      <c r="N74" s="491"/>
      <c r="O74" s="491"/>
      <c r="P74" s="491"/>
      <c r="Q74" s="491"/>
      <c r="R74" s="213"/>
      <c r="S74" s="215"/>
      <c r="T74" s="216"/>
      <c r="U74" s="214"/>
      <c r="V74" s="491"/>
      <c r="W74" s="491"/>
      <c r="X74" s="491"/>
      <c r="Y74" s="491"/>
      <c r="Z74" s="491"/>
      <c r="AA74" s="491"/>
      <c r="AB74" s="491"/>
      <c r="AC74" s="491"/>
      <c r="AD74" s="491"/>
      <c r="AE74" s="491"/>
      <c r="AF74" s="491"/>
      <c r="AG74" s="491"/>
      <c r="AH74" s="193"/>
    </row>
    <row r="75" spans="1:34" x14ac:dyDescent="0.25">
      <c r="A75" s="193"/>
      <c r="B75" s="491"/>
      <c r="C75" s="537"/>
      <c r="D75" s="491"/>
      <c r="E75" s="491"/>
      <c r="F75" s="491"/>
      <c r="G75" s="491"/>
      <c r="H75" s="491"/>
      <c r="I75" s="491"/>
      <c r="J75" s="491"/>
      <c r="K75" s="491"/>
      <c r="L75" s="491"/>
      <c r="M75" s="491"/>
      <c r="N75" s="491"/>
      <c r="O75" s="491"/>
      <c r="P75" s="491"/>
      <c r="Q75" s="491"/>
      <c r="R75" s="217"/>
      <c r="S75" s="218"/>
      <c r="T75" s="218"/>
      <c r="U75" s="219"/>
      <c r="V75" s="491"/>
      <c r="W75" s="491"/>
      <c r="X75" s="491"/>
      <c r="Y75" s="491"/>
      <c r="Z75" s="491"/>
      <c r="AA75" s="491"/>
      <c r="AB75" s="491"/>
      <c r="AC75" s="491"/>
      <c r="AD75" s="491"/>
      <c r="AE75" s="491"/>
      <c r="AF75" s="491"/>
      <c r="AG75" s="491"/>
      <c r="AH75" s="193"/>
    </row>
    <row r="76" spans="1:34" ht="15.75" thickBot="1" x14ac:dyDescent="0.3">
      <c r="A76" s="193"/>
      <c r="B76" s="491"/>
      <c r="C76" s="537"/>
      <c r="D76" s="491"/>
      <c r="E76" s="491"/>
      <c r="F76" s="491"/>
      <c r="G76" s="491"/>
      <c r="H76" s="491"/>
      <c r="I76" s="491"/>
      <c r="J76" s="491"/>
      <c r="K76" s="491"/>
      <c r="L76" s="491"/>
      <c r="M76" s="491"/>
      <c r="N76" s="491"/>
      <c r="O76" s="491"/>
      <c r="P76" s="491"/>
      <c r="Q76" s="491"/>
      <c r="R76" s="213"/>
      <c r="S76" s="220"/>
      <c r="T76" s="220"/>
      <c r="U76" s="214"/>
      <c r="V76" s="491"/>
      <c r="W76" s="491"/>
      <c r="X76" s="491"/>
      <c r="Y76" s="491"/>
      <c r="Z76" s="491"/>
      <c r="AA76" s="491"/>
      <c r="AB76" s="491"/>
      <c r="AC76" s="491"/>
      <c r="AD76" s="491"/>
      <c r="AE76" s="491"/>
      <c r="AF76" s="491"/>
      <c r="AG76" s="491"/>
      <c r="AH76" s="193"/>
    </row>
    <row r="77" spans="1:34" ht="15.75" thickBot="1" x14ac:dyDescent="0.3">
      <c r="A77" s="193"/>
      <c r="B77" s="492"/>
      <c r="C77" s="538"/>
      <c r="D77" s="492"/>
      <c r="E77" s="492"/>
      <c r="F77" s="492"/>
      <c r="G77" s="492"/>
      <c r="H77" s="492"/>
      <c r="I77" s="492"/>
      <c r="J77" s="492"/>
      <c r="K77" s="492"/>
      <c r="L77" s="492"/>
      <c r="M77" s="492"/>
      <c r="N77" s="492"/>
      <c r="O77" s="492"/>
      <c r="P77" s="492"/>
      <c r="Q77" s="492"/>
      <c r="R77" s="221"/>
      <c r="S77" s="493">
        <f>L73/12</f>
        <v>8.33</v>
      </c>
      <c r="T77" s="493"/>
      <c r="U77" s="222"/>
      <c r="V77" s="492"/>
      <c r="W77" s="492"/>
      <c r="X77" s="492"/>
      <c r="Y77" s="492"/>
      <c r="Z77" s="492"/>
      <c r="AA77" s="492"/>
      <c r="AB77" s="492"/>
      <c r="AC77" s="492"/>
      <c r="AD77" s="492"/>
      <c r="AE77" s="492"/>
      <c r="AF77" s="492"/>
      <c r="AG77" s="492"/>
      <c r="AH77" s="193"/>
    </row>
    <row r="78" spans="1:34" ht="14.45" customHeight="1" x14ac:dyDescent="0.25">
      <c r="A78" s="193"/>
      <c r="B78" s="490"/>
      <c r="C78" s="536" t="s">
        <v>655</v>
      </c>
      <c r="D78" s="490">
        <v>3</v>
      </c>
      <c r="E78" s="490">
        <v>0.625</v>
      </c>
      <c r="F78" s="490"/>
      <c r="G78" s="490">
        <f>(22.3333333333333*12-2-2)</f>
        <v>263.9999999999996</v>
      </c>
      <c r="H78" s="490"/>
      <c r="I78" s="490">
        <f>ROUNDUP(8.33/1.67,0)</f>
        <v>5</v>
      </c>
      <c r="J78" s="490">
        <v>1</v>
      </c>
      <c r="K78" s="490"/>
      <c r="L78" s="490">
        <f>G78</f>
        <v>263.9999999999996</v>
      </c>
      <c r="M78" s="490"/>
      <c r="N78" s="490"/>
      <c r="O78" s="490"/>
      <c r="P78" s="490"/>
      <c r="Q78" s="490"/>
      <c r="R78" s="213"/>
      <c r="S78" s="502"/>
      <c r="T78" s="502"/>
      <c r="U78" s="214"/>
      <c r="V78" s="490">
        <f>SUM(R78:U82)</f>
        <v>21.999999999999968</v>
      </c>
      <c r="W78" s="490">
        <f>+SUM(K78:Q82)</f>
        <v>263.9999999999996</v>
      </c>
      <c r="X78" s="490">
        <f>(+I78*J78*W78)/12</f>
        <v>109.99999999999983</v>
      </c>
      <c r="Y78" s="490">
        <f t="shared" ref="Y78:AF78" si="28">IF(Y$3=$D78,$X78*Y$4,0)</f>
        <v>41.359999999999935</v>
      </c>
      <c r="Z78" s="490">
        <f t="shared" si="28"/>
        <v>0</v>
      </c>
      <c r="AA78" s="490">
        <f t="shared" si="28"/>
        <v>0</v>
      </c>
      <c r="AB78" s="490">
        <f t="shared" si="28"/>
        <v>0</v>
      </c>
      <c r="AC78" s="490">
        <f t="shared" si="28"/>
        <v>0</v>
      </c>
      <c r="AD78" s="490">
        <f t="shared" si="28"/>
        <v>0</v>
      </c>
      <c r="AE78" s="490">
        <f t="shared" si="28"/>
        <v>0</v>
      </c>
      <c r="AF78" s="490">
        <f t="shared" si="28"/>
        <v>0</v>
      </c>
      <c r="AG78" s="490">
        <f t="shared" ref="AG78" si="29">SUM(Y78:AF78)</f>
        <v>41.359999999999935</v>
      </c>
      <c r="AH78" s="193"/>
    </row>
    <row r="79" spans="1:34" x14ac:dyDescent="0.25">
      <c r="A79" s="193"/>
      <c r="B79" s="491"/>
      <c r="C79" s="537"/>
      <c r="D79" s="491"/>
      <c r="E79" s="491"/>
      <c r="F79" s="491"/>
      <c r="G79" s="491"/>
      <c r="H79" s="491"/>
      <c r="I79" s="491"/>
      <c r="J79" s="491"/>
      <c r="K79" s="491"/>
      <c r="L79" s="491"/>
      <c r="M79" s="491"/>
      <c r="N79" s="491"/>
      <c r="O79" s="491"/>
      <c r="P79" s="491"/>
      <c r="Q79" s="491"/>
      <c r="R79" s="213"/>
      <c r="S79" s="215"/>
      <c r="T79" s="216"/>
      <c r="U79" s="214"/>
      <c r="V79" s="491"/>
      <c r="W79" s="491"/>
      <c r="X79" s="491"/>
      <c r="Y79" s="491"/>
      <c r="Z79" s="491"/>
      <c r="AA79" s="491"/>
      <c r="AB79" s="491"/>
      <c r="AC79" s="491"/>
      <c r="AD79" s="491"/>
      <c r="AE79" s="491"/>
      <c r="AF79" s="491"/>
      <c r="AG79" s="491"/>
      <c r="AH79" s="193"/>
    </row>
    <row r="80" spans="1:34" x14ac:dyDescent="0.25">
      <c r="A80" s="193"/>
      <c r="B80" s="491"/>
      <c r="C80" s="537"/>
      <c r="D80" s="491"/>
      <c r="E80" s="491"/>
      <c r="F80" s="491"/>
      <c r="G80" s="491"/>
      <c r="H80" s="491"/>
      <c r="I80" s="491"/>
      <c r="J80" s="491"/>
      <c r="K80" s="491"/>
      <c r="L80" s="491"/>
      <c r="M80" s="491"/>
      <c r="N80" s="491"/>
      <c r="O80" s="491"/>
      <c r="P80" s="491"/>
      <c r="Q80" s="491"/>
      <c r="R80" s="217"/>
      <c r="S80" s="218"/>
      <c r="T80" s="218"/>
      <c r="U80" s="219"/>
      <c r="V80" s="491"/>
      <c r="W80" s="491"/>
      <c r="X80" s="491"/>
      <c r="Y80" s="491"/>
      <c r="Z80" s="491"/>
      <c r="AA80" s="491"/>
      <c r="AB80" s="491"/>
      <c r="AC80" s="491"/>
      <c r="AD80" s="491"/>
      <c r="AE80" s="491"/>
      <c r="AF80" s="491"/>
      <c r="AG80" s="491"/>
      <c r="AH80" s="193"/>
    </row>
    <row r="81" spans="1:34" ht="15.75" thickBot="1" x14ac:dyDescent="0.3">
      <c r="A81" s="193"/>
      <c r="B81" s="491"/>
      <c r="C81" s="537"/>
      <c r="D81" s="491"/>
      <c r="E81" s="491"/>
      <c r="F81" s="491"/>
      <c r="G81" s="491"/>
      <c r="H81" s="491"/>
      <c r="I81" s="491"/>
      <c r="J81" s="491"/>
      <c r="K81" s="491"/>
      <c r="L81" s="491"/>
      <c r="M81" s="491"/>
      <c r="N81" s="491"/>
      <c r="O81" s="491"/>
      <c r="P81" s="491"/>
      <c r="Q81" s="491"/>
      <c r="R81" s="213"/>
      <c r="S81" s="220"/>
      <c r="T81" s="220"/>
      <c r="U81" s="214"/>
      <c r="V81" s="491"/>
      <c r="W81" s="491"/>
      <c r="X81" s="491"/>
      <c r="Y81" s="491"/>
      <c r="Z81" s="491"/>
      <c r="AA81" s="491"/>
      <c r="AB81" s="491"/>
      <c r="AC81" s="491"/>
      <c r="AD81" s="491"/>
      <c r="AE81" s="491"/>
      <c r="AF81" s="491"/>
      <c r="AG81" s="491"/>
      <c r="AH81" s="193"/>
    </row>
    <row r="82" spans="1:34" ht="15.75" thickBot="1" x14ac:dyDescent="0.3">
      <c r="A82" s="193"/>
      <c r="B82" s="492"/>
      <c r="C82" s="538"/>
      <c r="D82" s="492"/>
      <c r="E82" s="492"/>
      <c r="F82" s="492"/>
      <c r="G82" s="492"/>
      <c r="H82" s="492"/>
      <c r="I82" s="492"/>
      <c r="J82" s="492"/>
      <c r="K82" s="492"/>
      <c r="L82" s="492"/>
      <c r="M82" s="492"/>
      <c r="N82" s="492"/>
      <c r="O82" s="492"/>
      <c r="P82" s="492"/>
      <c r="Q82" s="492"/>
      <c r="R82" s="221"/>
      <c r="S82" s="493">
        <f>L78/12</f>
        <v>21.999999999999968</v>
      </c>
      <c r="T82" s="493"/>
      <c r="U82" s="222"/>
      <c r="V82" s="492"/>
      <c r="W82" s="492"/>
      <c r="X82" s="492"/>
      <c r="Y82" s="492"/>
      <c r="Z82" s="492"/>
      <c r="AA82" s="492"/>
      <c r="AB82" s="492"/>
      <c r="AC82" s="492"/>
      <c r="AD82" s="492"/>
      <c r="AE82" s="492"/>
      <c r="AF82" s="492"/>
      <c r="AG82" s="492"/>
      <c r="AH82" s="193"/>
    </row>
    <row r="83" spans="1:34" ht="14.45" customHeight="1" x14ac:dyDescent="0.25">
      <c r="A83" s="193"/>
      <c r="B83" s="490"/>
      <c r="C83" s="536" t="s">
        <v>654</v>
      </c>
      <c r="D83" s="490">
        <v>3</v>
      </c>
      <c r="E83" s="490">
        <v>0.625</v>
      </c>
      <c r="F83" s="490"/>
      <c r="G83" s="490">
        <f>(12.3333333333333*12)-2-2</f>
        <v>143.9999999999996</v>
      </c>
      <c r="H83" s="490"/>
      <c r="I83" s="490">
        <f>ROUNDUP(7/0.833,0)</f>
        <v>9</v>
      </c>
      <c r="J83" s="490">
        <v>1</v>
      </c>
      <c r="K83" s="490"/>
      <c r="L83" s="490">
        <f>G83</f>
        <v>143.9999999999996</v>
      </c>
      <c r="M83" s="490"/>
      <c r="N83" s="490"/>
      <c r="O83" s="490"/>
      <c r="P83" s="490"/>
      <c r="Q83" s="490"/>
      <c r="R83" s="213"/>
      <c r="S83" s="502"/>
      <c r="T83" s="502"/>
      <c r="U83" s="214"/>
      <c r="V83" s="490">
        <f>SUM(R83:U87)</f>
        <v>11.999999999999966</v>
      </c>
      <c r="W83" s="490">
        <f>+SUM(K83:Q87)</f>
        <v>143.9999999999996</v>
      </c>
      <c r="X83" s="490">
        <f>(+I83*J83*W83)/12</f>
        <v>107.9999999999997</v>
      </c>
      <c r="Y83" s="490">
        <f t="shared" ref="Y83:AF83" si="30">IF(Y$3=$D83,$X83*Y$4,0)</f>
        <v>40.60799999999989</v>
      </c>
      <c r="Z83" s="490">
        <f t="shared" si="30"/>
        <v>0</v>
      </c>
      <c r="AA83" s="490">
        <f t="shared" si="30"/>
        <v>0</v>
      </c>
      <c r="AB83" s="490">
        <f t="shared" si="30"/>
        <v>0</v>
      </c>
      <c r="AC83" s="490">
        <f t="shared" si="30"/>
        <v>0</v>
      </c>
      <c r="AD83" s="490">
        <f t="shared" si="30"/>
        <v>0</v>
      </c>
      <c r="AE83" s="490">
        <f t="shared" si="30"/>
        <v>0</v>
      </c>
      <c r="AF83" s="490">
        <f t="shared" si="30"/>
        <v>0</v>
      </c>
      <c r="AG83" s="490">
        <f t="shared" ref="AG83" si="31">SUM(Y83:AF83)</f>
        <v>40.60799999999989</v>
      </c>
      <c r="AH83" s="193"/>
    </row>
    <row r="84" spans="1:34" x14ac:dyDescent="0.25">
      <c r="A84" s="193"/>
      <c r="B84" s="491"/>
      <c r="C84" s="537"/>
      <c r="D84" s="491"/>
      <c r="E84" s="491"/>
      <c r="F84" s="491"/>
      <c r="G84" s="491"/>
      <c r="H84" s="491"/>
      <c r="I84" s="491"/>
      <c r="J84" s="491"/>
      <c r="K84" s="491"/>
      <c r="L84" s="491"/>
      <c r="M84" s="491"/>
      <c r="N84" s="491"/>
      <c r="O84" s="491"/>
      <c r="P84" s="491"/>
      <c r="Q84" s="491"/>
      <c r="R84" s="213"/>
      <c r="S84" s="215"/>
      <c r="T84" s="216"/>
      <c r="U84" s="214"/>
      <c r="V84" s="491"/>
      <c r="W84" s="491"/>
      <c r="X84" s="491"/>
      <c r="Y84" s="491"/>
      <c r="Z84" s="491"/>
      <c r="AA84" s="491"/>
      <c r="AB84" s="491"/>
      <c r="AC84" s="491"/>
      <c r="AD84" s="491"/>
      <c r="AE84" s="491"/>
      <c r="AF84" s="491"/>
      <c r="AG84" s="491"/>
      <c r="AH84" s="193"/>
    </row>
    <row r="85" spans="1:34" x14ac:dyDescent="0.25">
      <c r="A85" s="193"/>
      <c r="B85" s="491"/>
      <c r="C85" s="537"/>
      <c r="D85" s="491"/>
      <c r="E85" s="491"/>
      <c r="F85" s="491"/>
      <c r="G85" s="491"/>
      <c r="H85" s="491"/>
      <c r="I85" s="491"/>
      <c r="J85" s="491"/>
      <c r="K85" s="491"/>
      <c r="L85" s="491"/>
      <c r="M85" s="491"/>
      <c r="N85" s="491"/>
      <c r="O85" s="491"/>
      <c r="P85" s="491"/>
      <c r="Q85" s="491"/>
      <c r="R85" s="217"/>
      <c r="S85" s="218"/>
      <c r="T85" s="218"/>
      <c r="U85" s="219"/>
      <c r="V85" s="491"/>
      <c r="W85" s="491"/>
      <c r="X85" s="491"/>
      <c r="Y85" s="491"/>
      <c r="Z85" s="491"/>
      <c r="AA85" s="491"/>
      <c r="AB85" s="491"/>
      <c r="AC85" s="491"/>
      <c r="AD85" s="491"/>
      <c r="AE85" s="491"/>
      <c r="AF85" s="491"/>
      <c r="AG85" s="491"/>
      <c r="AH85" s="193"/>
    </row>
    <row r="86" spans="1:34" ht="15.75" thickBot="1" x14ac:dyDescent="0.3">
      <c r="A86" s="193"/>
      <c r="B86" s="491"/>
      <c r="C86" s="537"/>
      <c r="D86" s="491"/>
      <c r="E86" s="491"/>
      <c r="F86" s="491"/>
      <c r="G86" s="491"/>
      <c r="H86" s="491"/>
      <c r="I86" s="491"/>
      <c r="J86" s="491"/>
      <c r="K86" s="491"/>
      <c r="L86" s="491"/>
      <c r="M86" s="491"/>
      <c r="N86" s="491"/>
      <c r="O86" s="491"/>
      <c r="P86" s="491"/>
      <c r="Q86" s="491"/>
      <c r="R86" s="213"/>
      <c r="S86" s="220"/>
      <c r="T86" s="220"/>
      <c r="U86" s="214"/>
      <c r="V86" s="491"/>
      <c r="W86" s="491"/>
      <c r="X86" s="491"/>
      <c r="Y86" s="491"/>
      <c r="Z86" s="491"/>
      <c r="AA86" s="491"/>
      <c r="AB86" s="491"/>
      <c r="AC86" s="491"/>
      <c r="AD86" s="491"/>
      <c r="AE86" s="491"/>
      <c r="AF86" s="491"/>
      <c r="AG86" s="491"/>
      <c r="AH86" s="193"/>
    </row>
    <row r="87" spans="1:34" x14ac:dyDescent="0.25">
      <c r="A87" s="193"/>
      <c r="B87" s="492"/>
      <c r="C87" s="538"/>
      <c r="D87" s="492"/>
      <c r="E87" s="492"/>
      <c r="F87" s="492"/>
      <c r="G87" s="492"/>
      <c r="H87" s="492"/>
      <c r="I87" s="492"/>
      <c r="J87" s="492"/>
      <c r="K87" s="492"/>
      <c r="L87" s="492"/>
      <c r="M87" s="492"/>
      <c r="N87" s="492"/>
      <c r="O87" s="492"/>
      <c r="P87" s="492"/>
      <c r="Q87" s="492"/>
      <c r="R87" s="221"/>
      <c r="S87" s="493">
        <f>L83/12</f>
        <v>11.999999999999966</v>
      </c>
      <c r="T87" s="493"/>
      <c r="U87" s="222"/>
      <c r="V87" s="492"/>
      <c r="W87" s="492"/>
      <c r="X87" s="492"/>
      <c r="Y87" s="492"/>
      <c r="Z87" s="492"/>
      <c r="AA87" s="492"/>
      <c r="AB87" s="492"/>
      <c r="AC87" s="492"/>
      <c r="AD87" s="492"/>
      <c r="AE87" s="492"/>
      <c r="AF87" s="492"/>
      <c r="AG87" s="492"/>
      <c r="AH87" s="193"/>
    </row>
    <row r="88" spans="1:34" x14ac:dyDescent="0.25">
      <c r="AG88">
        <f>SUM(AG6:AG87)</f>
        <v>2342.8095666666668</v>
      </c>
    </row>
  </sheetData>
  <mergeCells count="499">
    <mergeCell ref="B2:B4"/>
    <mergeCell ref="C2:C4"/>
    <mergeCell ref="D2:D4"/>
    <mergeCell ref="E2:E4"/>
    <mergeCell ref="F2:F4"/>
    <mergeCell ref="G2:G4"/>
    <mergeCell ref="G6:G10"/>
    <mergeCell ref="W2:W4"/>
    <mergeCell ref="X2:X4"/>
    <mergeCell ref="Y2:AF2"/>
    <mergeCell ref="AG2:AG4"/>
    <mergeCell ref="K3:K4"/>
    <mergeCell ref="L3:L4"/>
    <mergeCell ref="M3:M4"/>
    <mergeCell ref="N3:N4"/>
    <mergeCell ref="O3:O4"/>
    <mergeCell ref="P3:P4"/>
    <mergeCell ref="H2:H4"/>
    <mergeCell ref="I2:I4"/>
    <mergeCell ref="J2:J4"/>
    <mergeCell ref="K2:Q2"/>
    <mergeCell ref="R2:U4"/>
    <mergeCell ref="V2:V4"/>
    <mergeCell ref="Q3:Q4"/>
    <mergeCell ref="AF6:AF10"/>
    <mergeCell ref="AG6:AG10"/>
    <mergeCell ref="S10:T10"/>
    <mergeCell ref="W6:W10"/>
    <mergeCell ref="X6:X10"/>
    <mergeCell ref="Y6:Y10"/>
    <mergeCell ref="Z6:Z10"/>
    <mergeCell ref="AA6:AA10"/>
    <mergeCell ref="AB6:AB10"/>
    <mergeCell ref="S6:T6"/>
    <mergeCell ref="V6:V10"/>
    <mergeCell ref="B11:B15"/>
    <mergeCell ref="C11:C15"/>
    <mergeCell ref="D11:D15"/>
    <mergeCell ref="E11:E15"/>
    <mergeCell ref="F11:F15"/>
    <mergeCell ref="G11:G15"/>
    <mergeCell ref="AC6:AC10"/>
    <mergeCell ref="AD6:AD10"/>
    <mergeCell ref="AE6:AE10"/>
    <mergeCell ref="N6:N10"/>
    <mergeCell ref="O6:O10"/>
    <mergeCell ref="P6:P10"/>
    <mergeCell ref="Q6:Q10"/>
    <mergeCell ref="H6:H10"/>
    <mergeCell ref="I6:I10"/>
    <mergeCell ref="J6:J10"/>
    <mergeCell ref="K6:K10"/>
    <mergeCell ref="L6:L10"/>
    <mergeCell ref="M6:M10"/>
    <mergeCell ref="B6:B10"/>
    <mergeCell ref="C6:C10"/>
    <mergeCell ref="D6:D10"/>
    <mergeCell ref="E6:E10"/>
    <mergeCell ref="F6:F10"/>
    <mergeCell ref="N11:N15"/>
    <mergeCell ref="O11:O15"/>
    <mergeCell ref="P11:P15"/>
    <mergeCell ref="Q11:Q15"/>
    <mergeCell ref="S11:T11"/>
    <mergeCell ref="V11:V15"/>
    <mergeCell ref="H11:H15"/>
    <mergeCell ref="I11:I15"/>
    <mergeCell ref="J11:J15"/>
    <mergeCell ref="K11:K15"/>
    <mergeCell ref="L11:L15"/>
    <mergeCell ref="M11:M15"/>
    <mergeCell ref="AC11:AC15"/>
    <mergeCell ref="AD11:AD15"/>
    <mergeCell ref="AE11:AE15"/>
    <mergeCell ref="AF11:AF15"/>
    <mergeCell ref="AG11:AG15"/>
    <mergeCell ref="S15:T15"/>
    <mergeCell ref="W11:W15"/>
    <mergeCell ref="X11:X15"/>
    <mergeCell ref="Y11:Y15"/>
    <mergeCell ref="Z11:Z15"/>
    <mergeCell ref="AA11:AA15"/>
    <mergeCell ref="AB11:AB15"/>
    <mergeCell ref="J16:J20"/>
    <mergeCell ref="K16:K20"/>
    <mergeCell ref="L16:L20"/>
    <mergeCell ref="M16:M20"/>
    <mergeCell ref="N16:N20"/>
    <mergeCell ref="B16:B20"/>
    <mergeCell ref="C16:C20"/>
    <mergeCell ref="D16:D20"/>
    <mergeCell ref="E16:E20"/>
    <mergeCell ref="F16:F20"/>
    <mergeCell ref="H16:H20"/>
    <mergeCell ref="M21:M25"/>
    <mergeCell ref="AD16:AD20"/>
    <mergeCell ref="AE16:AE20"/>
    <mergeCell ref="AF16:AF20"/>
    <mergeCell ref="AG16:AG20"/>
    <mergeCell ref="S20:T20"/>
    <mergeCell ref="B21:B25"/>
    <mergeCell ref="C21:C25"/>
    <mergeCell ref="D21:D25"/>
    <mergeCell ref="E21:E25"/>
    <mergeCell ref="F21:F25"/>
    <mergeCell ref="X16:X20"/>
    <mergeCell ref="Y16:Y20"/>
    <mergeCell ref="Z16:Z20"/>
    <mergeCell ref="AA16:AA20"/>
    <mergeCell ref="AB16:AB20"/>
    <mergeCell ref="AC16:AC20"/>
    <mergeCell ref="O16:O20"/>
    <mergeCell ref="P16:P20"/>
    <mergeCell ref="Q16:Q20"/>
    <mergeCell ref="S16:T16"/>
    <mergeCell ref="V16:V20"/>
    <mergeCell ref="W16:W20"/>
    <mergeCell ref="I16:I20"/>
    <mergeCell ref="G27:G31"/>
    <mergeCell ref="AC21:AC25"/>
    <mergeCell ref="AD21:AD25"/>
    <mergeCell ref="AE21:AE25"/>
    <mergeCell ref="AF21:AF25"/>
    <mergeCell ref="AG21:AG25"/>
    <mergeCell ref="S25:T25"/>
    <mergeCell ref="W21:W25"/>
    <mergeCell ref="X21:X25"/>
    <mergeCell ref="Y21:Y25"/>
    <mergeCell ref="Z21:Z25"/>
    <mergeCell ref="AA21:AA25"/>
    <mergeCell ref="AB21:AB25"/>
    <mergeCell ref="N21:N25"/>
    <mergeCell ref="O21:O25"/>
    <mergeCell ref="P21:P25"/>
    <mergeCell ref="Q21:Q25"/>
    <mergeCell ref="S21:T21"/>
    <mergeCell ref="V21:V25"/>
    <mergeCell ref="H21:H25"/>
    <mergeCell ref="I21:I25"/>
    <mergeCell ref="J21:J25"/>
    <mergeCell ref="K21:K25"/>
    <mergeCell ref="L21:L25"/>
    <mergeCell ref="AF27:AF31"/>
    <mergeCell ref="AG27:AG31"/>
    <mergeCell ref="S31:T31"/>
    <mergeCell ref="W27:W31"/>
    <mergeCell ref="X27:X31"/>
    <mergeCell ref="Y27:Y31"/>
    <mergeCell ref="Z27:Z31"/>
    <mergeCell ref="AA27:AA31"/>
    <mergeCell ref="AB27:AB31"/>
    <mergeCell ref="S27:T27"/>
    <mergeCell ref="V27:V31"/>
    <mergeCell ref="B32:B36"/>
    <mergeCell ref="C32:C36"/>
    <mergeCell ref="D32:D36"/>
    <mergeCell ref="E32:E36"/>
    <mergeCell ref="F32:F36"/>
    <mergeCell ref="G32:G36"/>
    <mergeCell ref="AC27:AC31"/>
    <mergeCell ref="AD27:AD31"/>
    <mergeCell ref="AE27:AE31"/>
    <mergeCell ref="N27:N31"/>
    <mergeCell ref="O27:O31"/>
    <mergeCell ref="P27:P31"/>
    <mergeCell ref="Q27:Q31"/>
    <mergeCell ref="H27:H31"/>
    <mergeCell ref="I27:I31"/>
    <mergeCell ref="J27:J31"/>
    <mergeCell ref="K27:K31"/>
    <mergeCell ref="L27:L31"/>
    <mergeCell ref="M27:M31"/>
    <mergeCell ref="B27:B31"/>
    <mergeCell ref="C27:C31"/>
    <mergeCell ref="D27:D31"/>
    <mergeCell ref="E27:E31"/>
    <mergeCell ref="F27:F31"/>
    <mergeCell ref="N32:N36"/>
    <mergeCell ref="O32:O36"/>
    <mergeCell ref="P32:P36"/>
    <mergeCell ref="Q32:Q36"/>
    <mergeCell ref="S32:T32"/>
    <mergeCell ref="V32:V36"/>
    <mergeCell ref="H32:H36"/>
    <mergeCell ref="I32:I36"/>
    <mergeCell ref="J32:J36"/>
    <mergeCell ref="K32:K36"/>
    <mergeCell ref="L32:L36"/>
    <mergeCell ref="M32:M36"/>
    <mergeCell ref="AC32:AC36"/>
    <mergeCell ref="AD32:AD36"/>
    <mergeCell ref="AE32:AE36"/>
    <mergeCell ref="AF32:AF36"/>
    <mergeCell ref="AG32:AG36"/>
    <mergeCell ref="S36:T36"/>
    <mergeCell ref="W32:W36"/>
    <mergeCell ref="X32:X36"/>
    <mergeCell ref="Y32:Y36"/>
    <mergeCell ref="Z32:Z36"/>
    <mergeCell ref="AA32:AA36"/>
    <mergeCell ref="AB32:AB36"/>
    <mergeCell ref="K37:K41"/>
    <mergeCell ref="L37:L41"/>
    <mergeCell ref="M37:M41"/>
    <mergeCell ref="N37:N41"/>
    <mergeCell ref="B37:B41"/>
    <mergeCell ref="C37:C41"/>
    <mergeCell ref="D37:D41"/>
    <mergeCell ref="E37:E41"/>
    <mergeCell ref="F37:F41"/>
    <mergeCell ref="H37:H41"/>
    <mergeCell ref="AD37:AD41"/>
    <mergeCell ref="AE37:AE41"/>
    <mergeCell ref="AF37:AF41"/>
    <mergeCell ref="AG37:AG41"/>
    <mergeCell ref="S41:T41"/>
    <mergeCell ref="B42:B46"/>
    <mergeCell ref="C42:C46"/>
    <mergeCell ref="D42:D46"/>
    <mergeCell ref="E42:E46"/>
    <mergeCell ref="F42:F46"/>
    <mergeCell ref="X37:X41"/>
    <mergeCell ref="Y37:Y41"/>
    <mergeCell ref="Z37:Z41"/>
    <mergeCell ref="AA37:AA41"/>
    <mergeCell ref="AB37:AB41"/>
    <mergeCell ref="AC37:AC41"/>
    <mergeCell ref="O37:O41"/>
    <mergeCell ref="P37:P41"/>
    <mergeCell ref="Q37:Q41"/>
    <mergeCell ref="S37:T37"/>
    <mergeCell ref="V37:V41"/>
    <mergeCell ref="W37:W41"/>
    <mergeCell ref="I37:I41"/>
    <mergeCell ref="J37:J41"/>
    <mergeCell ref="AF42:AF46"/>
    <mergeCell ref="AG42:AG46"/>
    <mergeCell ref="S46:T46"/>
    <mergeCell ref="W42:W46"/>
    <mergeCell ref="X42:X46"/>
    <mergeCell ref="Y42:Y46"/>
    <mergeCell ref="Z42:Z46"/>
    <mergeCell ref="AA42:AA46"/>
    <mergeCell ref="AB42:AB46"/>
    <mergeCell ref="S42:T42"/>
    <mergeCell ref="V42:V46"/>
    <mergeCell ref="B48:B52"/>
    <mergeCell ref="C48:C52"/>
    <mergeCell ref="D48:D52"/>
    <mergeCell ref="E48:E52"/>
    <mergeCell ref="F48:F52"/>
    <mergeCell ref="G48:G52"/>
    <mergeCell ref="AC42:AC46"/>
    <mergeCell ref="AD42:AD46"/>
    <mergeCell ref="AE42:AE46"/>
    <mergeCell ref="N42:N46"/>
    <mergeCell ref="O42:O46"/>
    <mergeCell ref="P42:P46"/>
    <mergeCell ref="Q42:Q46"/>
    <mergeCell ref="H42:H46"/>
    <mergeCell ref="I42:I46"/>
    <mergeCell ref="J42:J46"/>
    <mergeCell ref="K42:K46"/>
    <mergeCell ref="L42:L46"/>
    <mergeCell ref="M42:M46"/>
    <mergeCell ref="N48:N52"/>
    <mergeCell ref="O48:O52"/>
    <mergeCell ref="P48:P52"/>
    <mergeCell ref="Q48:Q52"/>
    <mergeCell ref="S48:T48"/>
    <mergeCell ref="V48:V52"/>
    <mergeCell ref="H48:H52"/>
    <mergeCell ref="I48:I52"/>
    <mergeCell ref="J48:J52"/>
    <mergeCell ref="K48:K52"/>
    <mergeCell ref="L48:L52"/>
    <mergeCell ref="M48:M52"/>
    <mergeCell ref="AC48:AC52"/>
    <mergeCell ref="AD48:AD52"/>
    <mergeCell ref="AE48:AE52"/>
    <mergeCell ref="AF48:AF52"/>
    <mergeCell ref="AG48:AG52"/>
    <mergeCell ref="S52:T52"/>
    <mergeCell ref="W48:W52"/>
    <mergeCell ref="X48:X52"/>
    <mergeCell ref="Y48:Y52"/>
    <mergeCell ref="Z48:Z52"/>
    <mergeCell ref="AA48:AA52"/>
    <mergeCell ref="AB48:AB52"/>
    <mergeCell ref="K53:K57"/>
    <mergeCell ref="L53:L57"/>
    <mergeCell ref="M53:M57"/>
    <mergeCell ref="B53:B57"/>
    <mergeCell ref="C53:C57"/>
    <mergeCell ref="D53:D57"/>
    <mergeCell ref="E53:E57"/>
    <mergeCell ref="F53:F57"/>
    <mergeCell ref="G53:G57"/>
    <mergeCell ref="D58:D62"/>
    <mergeCell ref="E58:E62"/>
    <mergeCell ref="F58:F62"/>
    <mergeCell ref="AC53:AC57"/>
    <mergeCell ref="AD53:AD57"/>
    <mergeCell ref="AE53:AE57"/>
    <mergeCell ref="AF53:AF57"/>
    <mergeCell ref="AG53:AG57"/>
    <mergeCell ref="S57:T57"/>
    <mergeCell ref="W53:W57"/>
    <mergeCell ref="X53:X57"/>
    <mergeCell ref="Y53:Y57"/>
    <mergeCell ref="Z53:Z57"/>
    <mergeCell ref="AA53:AA57"/>
    <mergeCell ref="AB53:AB57"/>
    <mergeCell ref="N53:N57"/>
    <mergeCell ref="O53:O57"/>
    <mergeCell ref="P53:P57"/>
    <mergeCell ref="Q53:Q57"/>
    <mergeCell ref="S53:T53"/>
    <mergeCell ref="V53:V57"/>
    <mergeCell ref="H53:H57"/>
    <mergeCell ref="I53:I57"/>
    <mergeCell ref="J53:J57"/>
    <mergeCell ref="AD58:AD62"/>
    <mergeCell ref="AE58:AE62"/>
    <mergeCell ref="AF58:AF62"/>
    <mergeCell ref="AG58:AG62"/>
    <mergeCell ref="V58:V62"/>
    <mergeCell ref="W58:W62"/>
    <mergeCell ref="X58:X62"/>
    <mergeCell ref="Y58:Y62"/>
    <mergeCell ref="Z58:Z62"/>
    <mergeCell ref="AA58:AA62"/>
    <mergeCell ref="M63:M67"/>
    <mergeCell ref="B63:B67"/>
    <mergeCell ref="C63:C67"/>
    <mergeCell ref="D63:D67"/>
    <mergeCell ref="E63:E67"/>
    <mergeCell ref="F63:F67"/>
    <mergeCell ref="G63:G67"/>
    <mergeCell ref="AB58:AB62"/>
    <mergeCell ref="AC58:AC62"/>
    <mergeCell ref="M58:M62"/>
    <mergeCell ref="N58:N62"/>
    <mergeCell ref="O58:O62"/>
    <mergeCell ref="P58:P62"/>
    <mergeCell ref="Q58:Q62"/>
    <mergeCell ref="S58:T58"/>
    <mergeCell ref="S62:T62"/>
    <mergeCell ref="G58:G62"/>
    <mergeCell ref="H58:H62"/>
    <mergeCell ref="I58:I62"/>
    <mergeCell ref="J58:J62"/>
    <mergeCell ref="K58:K62"/>
    <mergeCell ref="L58:L62"/>
    <mergeCell ref="B58:B62"/>
    <mergeCell ref="C58:C62"/>
    <mergeCell ref="G68:G72"/>
    <mergeCell ref="AC63:AC67"/>
    <mergeCell ref="AD63:AD67"/>
    <mergeCell ref="AE63:AE67"/>
    <mergeCell ref="AF63:AF67"/>
    <mergeCell ref="AG63:AG67"/>
    <mergeCell ref="S67:T67"/>
    <mergeCell ref="W63:W67"/>
    <mergeCell ref="X63:X67"/>
    <mergeCell ref="Y63:Y67"/>
    <mergeCell ref="Z63:Z67"/>
    <mergeCell ref="AA63:AA67"/>
    <mergeCell ref="AB63:AB67"/>
    <mergeCell ref="N63:N67"/>
    <mergeCell ref="O63:O67"/>
    <mergeCell ref="P63:P67"/>
    <mergeCell ref="Q63:Q67"/>
    <mergeCell ref="S63:T63"/>
    <mergeCell ref="V63:V67"/>
    <mergeCell ref="H63:H67"/>
    <mergeCell ref="I63:I67"/>
    <mergeCell ref="J63:J67"/>
    <mergeCell ref="K63:K67"/>
    <mergeCell ref="L63:L67"/>
    <mergeCell ref="AE68:AE72"/>
    <mergeCell ref="AF68:AF72"/>
    <mergeCell ref="AG68:AG72"/>
    <mergeCell ref="S72:T72"/>
    <mergeCell ref="W68:W72"/>
    <mergeCell ref="X68:X72"/>
    <mergeCell ref="Y68:Y72"/>
    <mergeCell ref="Z68:Z72"/>
    <mergeCell ref="AA68:AA72"/>
    <mergeCell ref="AB68:AB72"/>
    <mergeCell ref="S68:T68"/>
    <mergeCell ref="V68:V72"/>
    <mergeCell ref="M73:M77"/>
    <mergeCell ref="B73:B77"/>
    <mergeCell ref="C73:C77"/>
    <mergeCell ref="D73:D77"/>
    <mergeCell ref="E73:E77"/>
    <mergeCell ref="F73:F77"/>
    <mergeCell ref="G73:G77"/>
    <mergeCell ref="AC68:AC72"/>
    <mergeCell ref="AD68:AD72"/>
    <mergeCell ref="N68:N72"/>
    <mergeCell ref="O68:O72"/>
    <mergeCell ref="P68:P72"/>
    <mergeCell ref="Q68:Q72"/>
    <mergeCell ref="H68:H72"/>
    <mergeCell ref="I68:I72"/>
    <mergeCell ref="J68:J72"/>
    <mergeCell ref="K68:K72"/>
    <mergeCell ref="L68:L72"/>
    <mergeCell ref="M68:M72"/>
    <mergeCell ref="B68:B72"/>
    <mergeCell ref="C68:C72"/>
    <mergeCell ref="D68:D72"/>
    <mergeCell ref="E68:E72"/>
    <mergeCell ref="F68:F72"/>
    <mergeCell ref="G78:G82"/>
    <mergeCell ref="AC73:AC77"/>
    <mergeCell ref="AD73:AD77"/>
    <mergeCell ref="AE73:AE77"/>
    <mergeCell ref="AF73:AF77"/>
    <mergeCell ref="AG73:AG77"/>
    <mergeCell ref="S77:T77"/>
    <mergeCell ref="W73:W77"/>
    <mergeCell ref="X73:X77"/>
    <mergeCell ref="Y73:Y77"/>
    <mergeCell ref="Z73:Z77"/>
    <mergeCell ref="AA73:AA77"/>
    <mergeCell ref="AB73:AB77"/>
    <mergeCell ref="N73:N77"/>
    <mergeCell ref="O73:O77"/>
    <mergeCell ref="P73:P77"/>
    <mergeCell ref="Q73:Q77"/>
    <mergeCell ref="S73:T73"/>
    <mergeCell ref="V73:V77"/>
    <mergeCell ref="H73:H77"/>
    <mergeCell ref="I73:I77"/>
    <mergeCell ref="J73:J77"/>
    <mergeCell ref="K73:K77"/>
    <mergeCell ref="L73:L77"/>
    <mergeCell ref="AF78:AF82"/>
    <mergeCell ref="AG78:AG82"/>
    <mergeCell ref="S82:T82"/>
    <mergeCell ref="W78:W82"/>
    <mergeCell ref="X78:X82"/>
    <mergeCell ref="Y78:Y82"/>
    <mergeCell ref="Z78:Z82"/>
    <mergeCell ref="AA78:AA82"/>
    <mergeCell ref="AB78:AB82"/>
    <mergeCell ref="S78:T78"/>
    <mergeCell ref="V78:V82"/>
    <mergeCell ref="B83:B87"/>
    <mergeCell ref="C83:C87"/>
    <mergeCell ref="D83:D87"/>
    <mergeCell ref="E83:E87"/>
    <mergeCell ref="F83:F87"/>
    <mergeCell ref="G83:G87"/>
    <mergeCell ref="AC78:AC82"/>
    <mergeCell ref="AD78:AD82"/>
    <mergeCell ref="AE78:AE82"/>
    <mergeCell ref="N78:N82"/>
    <mergeCell ref="O78:O82"/>
    <mergeCell ref="P78:P82"/>
    <mergeCell ref="Q78:Q82"/>
    <mergeCell ref="H78:H82"/>
    <mergeCell ref="I78:I82"/>
    <mergeCell ref="J78:J82"/>
    <mergeCell ref="K78:K82"/>
    <mergeCell ref="L78:L82"/>
    <mergeCell ref="M78:M82"/>
    <mergeCell ref="B78:B82"/>
    <mergeCell ref="C78:C82"/>
    <mergeCell ref="D78:D82"/>
    <mergeCell ref="E78:E82"/>
    <mergeCell ref="F78:F82"/>
    <mergeCell ref="N83:N87"/>
    <mergeCell ref="O83:O87"/>
    <mergeCell ref="P83:P87"/>
    <mergeCell ref="Q83:Q87"/>
    <mergeCell ref="S83:T83"/>
    <mergeCell ref="V83:V87"/>
    <mergeCell ref="H83:H87"/>
    <mergeCell ref="I83:I87"/>
    <mergeCell ref="J83:J87"/>
    <mergeCell ref="K83:K87"/>
    <mergeCell ref="L83:L87"/>
    <mergeCell ref="M83:M87"/>
    <mergeCell ref="AC83:AC87"/>
    <mergeCell ref="AD83:AD87"/>
    <mergeCell ref="AE83:AE87"/>
    <mergeCell ref="AF83:AF87"/>
    <mergeCell ref="AG83:AG87"/>
    <mergeCell ref="S87:T87"/>
    <mergeCell ref="W83:W87"/>
    <mergeCell ref="X83:X87"/>
    <mergeCell ref="Y83:Y87"/>
    <mergeCell ref="Z83:Z87"/>
    <mergeCell ref="AA83:AA87"/>
    <mergeCell ref="AB83:AB87"/>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DE4D7-D6EB-4F1C-BEAE-45490A03F1E1}">
  <dimension ref="A1:M33"/>
  <sheetViews>
    <sheetView topLeftCell="A12" zoomScale="85" zoomScaleNormal="85" workbookViewId="0">
      <selection activeCell="F34" sqref="F34"/>
    </sheetView>
  </sheetViews>
  <sheetFormatPr defaultColWidth="8.7109375" defaultRowHeight="15" x14ac:dyDescent="0.25"/>
  <cols>
    <col min="1" max="1" width="8.7109375" style="96"/>
    <col min="2" max="2" width="23" style="96" bestFit="1" customWidth="1"/>
    <col min="3" max="3" width="18.140625" style="96" bestFit="1" customWidth="1"/>
    <col min="4" max="4" width="10" style="96" bestFit="1" customWidth="1"/>
    <col min="5" max="6" width="8.7109375" style="96"/>
    <col min="7" max="7" width="9.7109375" style="96" bestFit="1" customWidth="1"/>
    <col min="8" max="8" width="35.140625" style="96" bestFit="1" customWidth="1"/>
    <col min="9" max="16384" width="8.7109375" style="96"/>
  </cols>
  <sheetData>
    <row r="1" spans="1:13" x14ac:dyDescent="0.25">
      <c r="A1" s="560" t="s">
        <v>462</v>
      </c>
      <c r="B1" s="560"/>
      <c r="C1" s="560"/>
      <c r="D1" s="560"/>
      <c r="E1" s="560"/>
      <c r="F1" s="560"/>
      <c r="G1" s="560"/>
      <c r="H1" s="560"/>
      <c r="I1" s="560"/>
      <c r="J1" s="353" t="s">
        <v>589</v>
      </c>
      <c r="K1" s="354"/>
      <c r="L1" s="354"/>
      <c r="M1" s="352"/>
    </row>
    <row r="2" spans="1:13" x14ac:dyDescent="0.25">
      <c r="A2" s="302" t="s">
        <v>458</v>
      </c>
      <c r="B2" s="302"/>
      <c r="C2" s="303" t="s">
        <v>444</v>
      </c>
      <c r="D2" s="303" t="s">
        <v>445</v>
      </c>
      <c r="E2" s="302" t="s">
        <v>99</v>
      </c>
      <c r="F2" s="302" t="s">
        <v>135</v>
      </c>
      <c r="G2" s="302" t="s">
        <v>452</v>
      </c>
      <c r="H2" s="303" t="s">
        <v>453</v>
      </c>
      <c r="I2" s="303"/>
      <c r="J2" s="303" t="s">
        <v>590</v>
      </c>
      <c r="K2" s="303" t="s">
        <v>591</v>
      </c>
      <c r="L2" s="303" t="s">
        <v>592</v>
      </c>
      <c r="M2" s="303" t="s">
        <v>593</v>
      </c>
    </row>
    <row r="3" spans="1:13" s="271" customFormat="1" ht="12.75" x14ac:dyDescent="0.25">
      <c r="A3" s="292"/>
      <c r="B3" s="292" t="s">
        <v>431</v>
      </c>
      <c r="C3" s="294"/>
      <c r="D3" s="297"/>
      <c r="E3" s="293"/>
      <c r="F3" s="293"/>
      <c r="G3" s="298"/>
      <c r="H3" s="294"/>
      <c r="I3" s="294"/>
      <c r="J3" s="294"/>
      <c r="K3" s="294"/>
      <c r="L3" s="294"/>
      <c r="M3" s="294"/>
    </row>
    <row r="4" spans="1:13" ht="16.5" customHeight="1" x14ac:dyDescent="0.25">
      <c r="A4" s="295">
        <v>1</v>
      </c>
      <c r="B4" s="299" t="s">
        <v>432</v>
      </c>
      <c r="C4" s="204" t="s">
        <v>433</v>
      </c>
      <c r="D4" s="204">
        <v>1</v>
      </c>
      <c r="E4" s="204">
        <v>3</v>
      </c>
      <c r="F4" s="204">
        <v>9</v>
      </c>
      <c r="G4" s="204" t="s">
        <v>218</v>
      </c>
      <c r="H4" s="204" t="s">
        <v>454</v>
      </c>
      <c r="I4" s="204"/>
      <c r="J4" s="204">
        <f>E4</f>
        <v>3</v>
      </c>
      <c r="K4" s="204">
        <f>F4</f>
        <v>9</v>
      </c>
      <c r="L4" s="204">
        <f t="shared" ref="L4:L20" si="0">J4*K4</f>
        <v>27</v>
      </c>
      <c r="M4" s="204">
        <f>J4+K4*2</f>
        <v>21</v>
      </c>
    </row>
    <row r="5" spans="1:13" ht="16.5" customHeight="1" x14ac:dyDescent="0.25">
      <c r="A5" s="295">
        <v>2</v>
      </c>
      <c r="B5" s="299"/>
      <c r="C5" s="204" t="s">
        <v>334</v>
      </c>
      <c r="D5" s="204">
        <v>1</v>
      </c>
      <c r="E5" s="204">
        <v>3</v>
      </c>
      <c r="F5" s="204">
        <v>9</v>
      </c>
      <c r="G5" s="204" t="s">
        <v>218</v>
      </c>
      <c r="H5" s="204" t="s">
        <v>454</v>
      </c>
      <c r="I5" s="204"/>
      <c r="J5" s="204">
        <f t="shared" ref="J5:J14" si="1">E5</f>
        <v>3</v>
      </c>
      <c r="K5" s="204">
        <f t="shared" ref="K5:K14" si="2">F5</f>
        <v>9</v>
      </c>
      <c r="L5" s="204">
        <f t="shared" si="0"/>
        <v>27</v>
      </c>
      <c r="M5" s="204">
        <f t="shared" ref="M5:M20" si="3">J5+K5*2</f>
        <v>21</v>
      </c>
    </row>
    <row r="6" spans="1:13" ht="16.5" customHeight="1" x14ac:dyDescent="0.25">
      <c r="A6" s="295">
        <v>3</v>
      </c>
      <c r="B6" s="299"/>
      <c r="C6" s="204" t="s">
        <v>434</v>
      </c>
      <c r="D6" s="204">
        <v>1</v>
      </c>
      <c r="E6" s="204">
        <v>3</v>
      </c>
      <c r="F6" s="204">
        <v>8</v>
      </c>
      <c r="G6" s="204" t="s">
        <v>261</v>
      </c>
      <c r="H6" s="204" t="s">
        <v>455</v>
      </c>
      <c r="I6" s="204"/>
      <c r="J6" s="204">
        <f t="shared" si="1"/>
        <v>3</v>
      </c>
      <c r="K6" s="204">
        <f t="shared" si="2"/>
        <v>8</v>
      </c>
      <c r="L6" s="204">
        <f t="shared" si="0"/>
        <v>24</v>
      </c>
      <c r="M6" s="204">
        <f t="shared" si="3"/>
        <v>19</v>
      </c>
    </row>
    <row r="7" spans="1:13" ht="16.5" customHeight="1" x14ac:dyDescent="0.25">
      <c r="A7" s="295">
        <v>4</v>
      </c>
      <c r="B7" s="299"/>
      <c r="C7" s="204" t="s">
        <v>434</v>
      </c>
      <c r="D7" s="204">
        <v>1</v>
      </c>
      <c r="E7" s="204">
        <v>9.16</v>
      </c>
      <c r="F7" s="204">
        <v>8</v>
      </c>
      <c r="G7" s="204" t="s">
        <v>257</v>
      </c>
      <c r="H7" s="204" t="s">
        <v>456</v>
      </c>
      <c r="I7" s="204"/>
      <c r="J7" s="204">
        <f t="shared" si="1"/>
        <v>9.16</v>
      </c>
      <c r="K7" s="204">
        <f t="shared" si="2"/>
        <v>8</v>
      </c>
      <c r="L7" s="204">
        <f t="shared" si="0"/>
        <v>73.28</v>
      </c>
      <c r="M7" s="204">
        <f t="shared" si="3"/>
        <v>25.16</v>
      </c>
    </row>
    <row r="8" spans="1:13" ht="16.5" customHeight="1" x14ac:dyDescent="0.25">
      <c r="A8" s="295">
        <v>5</v>
      </c>
      <c r="B8" s="299"/>
      <c r="C8" s="204" t="s">
        <v>435</v>
      </c>
      <c r="D8" s="204">
        <v>1</v>
      </c>
      <c r="E8" s="204">
        <v>3</v>
      </c>
      <c r="F8" s="204">
        <v>7</v>
      </c>
      <c r="G8" s="204" t="s">
        <v>261</v>
      </c>
      <c r="H8" s="204" t="s">
        <v>455</v>
      </c>
      <c r="I8" s="204"/>
      <c r="J8" s="204">
        <f t="shared" si="1"/>
        <v>3</v>
      </c>
      <c r="K8" s="204">
        <f t="shared" si="2"/>
        <v>7</v>
      </c>
      <c r="L8" s="204">
        <f t="shared" si="0"/>
        <v>21</v>
      </c>
      <c r="M8" s="204">
        <f t="shared" si="3"/>
        <v>17</v>
      </c>
    </row>
    <row r="9" spans="1:13" ht="16.5" customHeight="1" x14ac:dyDescent="0.25">
      <c r="A9" s="295">
        <v>6</v>
      </c>
      <c r="B9" s="299"/>
      <c r="C9" s="204" t="s">
        <v>436</v>
      </c>
      <c r="D9" s="204">
        <v>1</v>
      </c>
      <c r="E9" s="204">
        <v>3</v>
      </c>
      <c r="F9" s="204">
        <v>7</v>
      </c>
      <c r="G9" s="204" t="s">
        <v>261</v>
      </c>
      <c r="H9" s="204" t="s">
        <v>455</v>
      </c>
      <c r="I9" s="204"/>
      <c r="J9" s="204">
        <f t="shared" si="1"/>
        <v>3</v>
      </c>
      <c r="K9" s="204">
        <f t="shared" si="2"/>
        <v>7</v>
      </c>
      <c r="L9" s="204">
        <f t="shared" si="0"/>
        <v>21</v>
      </c>
      <c r="M9" s="204">
        <f t="shared" si="3"/>
        <v>17</v>
      </c>
    </row>
    <row r="10" spans="1:13" ht="16.5" customHeight="1" x14ac:dyDescent="0.25">
      <c r="A10" s="295">
        <v>7</v>
      </c>
      <c r="B10" s="299"/>
      <c r="C10" s="204" t="s">
        <v>437</v>
      </c>
      <c r="D10" s="204">
        <v>1</v>
      </c>
      <c r="E10" s="204">
        <v>3</v>
      </c>
      <c r="F10" s="204">
        <v>7</v>
      </c>
      <c r="G10" s="204" t="s">
        <v>261</v>
      </c>
      <c r="H10" s="204" t="s">
        <v>455</v>
      </c>
      <c r="I10" s="204"/>
      <c r="J10" s="204">
        <f t="shared" si="1"/>
        <v>3</v>
      </c>
      <c r="K10" s="204">
        <f t="shared" si="2"/>
        <v>7</v>
      </c>
      <c r="L10" s="204">
        <f t="shared" si="0"/>
        <v>21</v>
      </c>
      <c r="M10" s="204">
        <f t="shared" si="3"/>
        <v>17</v>
      </c>
    </row>
    <row r="11" spans="1:13" ht="16.5" customHeight="1" x14ac:dyDescent="0.25">
      <c r="A11" s="295">
        <v>8</v>
      </c>
      <c r="B11" s="299" t="s">
        <v>79</v>
      </c>
      <c r="C11" s="204" t="s">
        <v>446</v>
      </c>
      <c r="D11" s="204">
        <v>1</v>
      </c>
      <c r="E11" s="204">
        <v>2.83</v>
      </c>
      <c r="F11" s="204">
        <v>7</v>
      </c>
      <c r="G11" s="204" t="s">
        <v>259</v>
      </c>
      <c r="H11" s="204" t="s">
        <v>457</v>
      </c>
      <c r="I11" s="204"/>
      <c r="J11" s="204">
        <f t="shared" si="1"/>
        <v>2.83</v>
      </c>
      <c r="K11" s="204">
        <f t="shared" si="2"/>
        <v>7</v>
      </c>
      <c r="L11" s="204">
        <f t="shared" si="0"/>
        <v>19.810000000000002</v>
      </c>
      <c r="M11" s="204">
        <f t="shared" si="3"/>
        <v>16.829999999999998</v>
      </c>
    </row>
    <row r="12" spans="1:13" ht="16.5" customHeight="1" x14ac:dyDescent="0.25">
      <c r="A12" s="295">
        <v>9</v>
      </c>
      <c r="B12" s="299"/>
      <c r="C12" s="204" t="s">
        <v>447</v>
      </c>
      <c r="D12" s="204">
        <v>1</v>
      </c>
      <c r="E12" s="204">
        <v>2.83</v>
      </c>
      <c r="F12" s="204">
        <v>7</v>
      </c>
      <c r="G12" s="204" t="s">
        <v>260</v>
      </c>
      <c r="H12" s="204" t="s">
        <v>457</v>
      </c>
      <c r="I12" s="204"/>
      <c r="J12" s="204">
        <f t="shared" si="1"/>
        <v>2.83</v>
      </c>
      <c r="K12" s="204">
        <f t="shared" si="2"/>
        <v>7</v>
      </c>
      <c r="L12" s="204">
        <f t="shared" si="0"/>
        <v>19.810000000000002</v>
      </c>
      <c r="M12" s="204">
        <f t="shared" si="3"/>
        <v>16.829999999999998</v>
      </c>
    </row>
    <row r="13" spans="1:13" ht="16.5" customHeight="1" x14ac:dyDescent="0.25">
      <c r="A13" s="295">
        <v>10</v>
      </c>
      <c r="B13" s="299"/>
      <c r="C13" s="204" t="s">
        <v>448</v>
      </c>
      <c r="D13" s="204">
        <v>1</v>
      </c>
      <c r="E13" s="204">
        <v>3</v>
      </c>
      <c r="F13" s="204">
        <v>8</v>
      </c>
      <c r="G13" s="204" t="s">
        <v>258</v>
      </c>
      <c r="H13" s="204" t="s">
        <v>454</v>
      </c>
      <c r="I13" s="204"/>
      <c r="J13" s="204">
        <f t="shared" si="1"/>
        <v>3</v>
      </c>
      <c r="K13" s="204">
        <f t="shared" si="2"/>
        <v>8</v>
      </c>
      <c r="L13" s="204">
        <f t="shared" si="0"/>
        <v>24</v>
      </c>
      <c r="M13" s="204">
        <f t="shared" si="3"/>
        <v>19</v>
      </c>
    </row>
    <row r="14" spans="1:13" ht="16.5" customHeight="1" x14ac:dyDescent="0.25">
      <c r="A14" s="295">
        <v>11</v>
      </c>
      <c r="B14" s="299"/>
      <c r="C14" s="204" t="s">
        <v>449</v>
      </c>
      <c r="D14" s="204">
        <v>1</v>
      </c>
      <c r="E14" s="204">
        <v>3</v>
      </c>
      <c r="F14" s="204">
        <v>8</v>
      </c>
      <c r="G14" s="204" t="s">
        <v>258</v>
      </c>
      <c r="H14" s="204" t="s">
        <v>454</v>
      </c>
      <c r="I14" s="204"/>
      <c r="J14" s="204">
        <f t="shared" si="1"/>
        <v>3</v>
      </c>
      <c r="K14" s="204">
        <f t="shared" si="2"/>
        <v>8</v>
      </c>
      <c r="L14" s="204">
        <f t="shared" si="0"/>
        <v>24</v>
      </c>
      <c r="M14" s="204">
        <f t="shared" si="3"/>
        <v>19</v>
      </c>
    </row>
    <row r="15" spans="1:13" ht="16.5" customHeight="1" x14ac:dyDescent="0.25">
      <c r="A15" s="295"/>
      <c r="B15" s="300" t="s">
        <v>451</v>
      </c>
      <c r="C15" s="204"/>
      <c r="D15" s="204"/>
      <c r="E15" s="204"/>
      <c r="F15" s="204"/>
      <c r="G15" s="204"/>
      <c r="H15" s="204"/>
      <c r="I15" s="204"/>
      <c r="J15" s="204"/>
      <c r="K15" s="204"/>
      <c r="L15" s="204"/>
      <c r="M15" s="204"/>
    </row>
    <row r="16" spans="1:13" ht="16.5" customHeight="1" x14ac:dyDescent="0.25">
      <c r="A16" s="295" t="s">
        <v>322</v>
      </c>
      <c r="B16" s="299"/>
      <c r="C16" s="204" t="s">
        <v>435</v>
      </c>
      <c r="D16" s="204">
        <v>1</v>
      </c>
      <c r="E16" s="204">
        <v>3</v>
      </c>
      <c r="F16" s="204">
        <v>7</v>
      </c>
      <c r="G16" s="204" t="s">
        <v>261</v>
      </c>
      <c r="H16" s="204" t="s">
        <v>455</v>
      </c>
      <c r="I16" s="204"/>
      <c r="J16" s="204">
        <f t="shared" ref="J16:J17" si="4">E16</f>
        <v>3</v>
      </c>
      <c r="K16" s="204">
        <f t="shared" ref="K16:K17" si="5">F16</f>
        <v>7</v>
      </c>
      <c r="L16" s="204">
        <f t="shared" si="0"/>
        <v>21</v>
      </c>
      <c r="M16" s="204">
        <f t="shared" si="3"/>
        <v>17</v>
      </c>
    </row>
    <row r="17" spans="1:13" ht="16.5" customHeight="1" x14ac:dyDescent="0.25">
      <c r="A17" s="295" t="s">
        <v>459</v>
      </c>
      <c r="B17" s="299"/>
      <c r="C17" s="204" t="s">
        <v>436</v>
      </c>
      <c r="D17" s="204">
        <v>1</v>
      </c>
      <c r="E17" s="204">
        <v>3</v>
      </c>
      <c r="F17" s="204">
        <v>7</v>
      </c>
      <c r="G17" s="204" t="s">
        <v>261</v>
      </c>
      <c r="H17" s="204" t="s">
        <v>455</v>
      </c>
      <c r="I17" s="204"/>
      <c r="J17" s="204">
        <f t="shared" si="4"/>
        <v>3</v>
      </c>
      <c r="K17" s="204">
        <f t="shared" si="5"/>
        <v>7</v>
      </c>
      <c r="L17" s="204">
        <f t="shared" si="0"/>
        <v>21</v>
      </c>
      <c r="M17" s="204">
        <f t="shared" si="3"/>
        <v>17</v>
      </c>
    </row>
    <row r="18" spans="1:13" ht="16.5" customHeight="1" x14ac:dyDescent="0.25">
      <c r="A18" s="295" t="s">
        <v>460</v>
      </c>
      <c r="B18" s="299"/>
      <c r="C18" s="204" t="s">
        <v>437</v>
      </c>
      <c r="D18" s="204">
        <v>1</v>
      </c>
      <c r="E18" s="204">
        <v>3</v>
      </c>
      <c r="F18" s="204">
        <v>7</v>
      </c>
      <c r="G18" s="204" t="s">
        <v>261</v>
      </c>
      <c r="H18" s="204" t="s">
        <v>455</v>
      </c>
      <c r="I18" s="204"/>
      <c r="J18" s="204">
        <f t="shared" ref="J18" si="6">E18</f>
        <v>3</v>
      </c>
      <c r="K18" s="204">
        <f t="shared" ref="K18" si="7">F18</f>
        <v>7</v>
      </c>
      <c r="L18" s="204">
        <f t="shared" si="0"/>
        <v>21</v>
      </c>
      <c r="M18" s="204">
        <f t="shared" si="3"/>
        <v>17</v>
      </c>
    </row>
    <row r="19" spans="1:13" ht="16.5" customHeight="1" x14ac:dyDescent="0.25">
      <c r="A19" s="295"/>
      <c r="B19" s="300" t="s">
        <v>450</v>
      </c>
      <c r="C19" s="204"/>
      <c r="D19" s="204"/>
      <c r="E19" s="204"/>
      <c r="F19" s="204"/>
      <c r="G19" s="204"/>
      <c r="H19" s="204"/>
      <c r="I19" s="204"/>
      <c r="J19" s="204"/>
      <c r="K19" s="204"/>
      <c r="L19" s="204"/>
      <c r="M19" s="204"/>
    </row>
    <row r="20" spans="1:13" x14ac:dyDescent="0.25">
      <c r="A20" s="296" t="s">
        <v>461</v>
      </c>
      <c r="B20" s="90"/>
      <c r="C20" s="90" t="s">
        <v>450</v>
      </c>
      <c r="D20" s="204">
        <v>1</v>
      </c>
      <c r="E20" s="204">
        <v>3</v>
      </c>
      <c r="F20" s="204">
        <v>7</v>
      </c>
      <c r="G20" s="90" t="s">
        <v>261</v>
      </c>
      <c r="H20" s="90" t="s">
        <v>455</v>
      </c>
      <c r="I20" s="90"/>
      <c r="J20" s="90">
        <f t="shared" ref="J20" si="8">E20</f>
        <v>3</v>
      </c>
      <c r="K20" s="90">
        <f t="shared" ref="K20" si="9">F20</f>
        <v>7</v>
      </c>
      <c r="L20" s="90">
        <f t="shared" si="0"/>
        <v>21</v>
      </c>
      <c r="M20" s="90">
        <f t="shared" si="3"/>
        <v>17</v>
      </c>
    </row>
    <row r="21" spans="1:13" x14ac:dyDescent="0.25">
      <c r="A21" s="90"/>
      <c r="B21" s="90"/>
      <c r="C21" s="90"/>
      <c r="D21" s="90"/>
      <c r="E21" s="90"/>
      <c r="F21" s="90"/>
      <c r="G21" s="90"/>
      <c r="H21" s="90"/>
      <c r="I21" s="90"/>
      <c r="J21" s="90"/>
      <c r="K21" s="90"/>
      <c r="L21" s="90"/>
      <c r="M21" s="90"/>
    </row>
    <row r="22" spans="1:13" x14ac:dyDescent="0.25">
      <c r="A22" s="90"/>
      <c r="B22" s="90"/>
      <c r="C22" s="90"/>
      <c r="D22" s="90"/>
      <c r="E22" s="90"/>
      <c r="F22" s="90"/>
      <c r="G22" s="90"/>
      <c r="H22" s="90"/>
      <c r="I22" s="90"/>
      <c r="J22" s="90"/>
      <c r="K22" s="90"/>
      <c r="L22" s="90"/>
      <c r="M22" s="90"/>
    </row>
    <row r="24" spans="1:13" x14ac:dyDescent="0.25">
      <c r="A24" s="560" t="s">
        <v>463</v>
      </c>
      <c r="B24" s="560"/>
      <c r="C24" s="560"/>
      <c r="D24" s="560"/>
      <c r="E24" s="560"/>
      <c r="F24" s="560"/>
      <c r="G24" s="560"/>
      <c r="H24" s="560"/>
      <c r="I24" s="560"/>
      <c r="J24" s="560"/>
      <c r="K24" s="560"/>
      <c r="L24" s="560"/>
      <c r="M24" s="560"/>
    </row>
    <row r="25" spans="1:13" x14ac:dyDescent="0.25">
      <c r="A25" s="302" t="s">
        <v>458</v>
      </c>
      <c r="B25" s="302"/>
      <c r="C25" s="303" t="s">
        <v>444</v>
      </c>
      <c r="D25" s="303" t="s">
        <v>445</v>
      </c>
      <c r="E25" s="302" t="s">
        <v>99</v>
      </c>
      <c r="F25" s="302" t="s">
        <v>135</v>
      </c>
      <c r="G25" s="302" t="s">
        <v>452</v>
      </c>
      <c r="H25" s="303" t="s">
        <v>453</v>
      </c>
      <c r="I25" s="303"/>
      <c r="J25" s="303"/>
      <c r="K25" s="303"/>
      <c r="L25" s="303"/>
      <c r="M25" s="303"/>
    </row>
    <row r="26" spans="1:13" s="271" customFormat="1" ht="12.75" x14ac:dyDescent="0.25">
      <c r="A26" s="292"/>
      <c r="B26" s="292" t="s">
        <v>431</v>
      </c>
      <c r="C26" s="294"/>
      <c r="D26" s="297"/>
      <c r="E26" s="293"/>
      <c r="F26" s="293"/>
      <c r="G26" s="298"/>
      <c r="H26" s="294"/>
      <c r="I26" s="294"/>
      <c r="J26" s="294"/>
      <c r="K26" s="294"/>
      <c r="L26" s="294"/>
      <c r="M26" s="294"/>
    </row>
    <row r="27" spans="1:13" ht="16.5" customHeight="1" x14ac:dyDescent="0.25">
      <c r="A27" s="295">
        <v>1</v>
      </c>
      <c r="B27" s="299" t="s">
        <v>464</v>
      </c>
      <c r="C27" s="204" t="s">
        <v>431</v>
      </c>
      <c r="D27" s="204">
        <v>2</v>
      </c>
      <c r="E27" s="204" t="s">
        <v>465</v>
      </c>
      <c r="F27" s="204" t="s">
        <v>466</v>
      </c>
      <c r="G27" s="204" t="s">
        <v>468</v>
      </c>
      <c r="H27" s="204" t="s">
        <v>521</v>
      </c>
      <c r="I27" s="204"/>
      <c r="J27" s="204">
        <f>4+1/12</f>
        <v>4.083333333333333</v>
      </c>
      <c r="K27" s="204">
        <f>5+3/12</f>
        <v>5.25</v>
      </c>
      <c r="L27" s="204">
        <f t="shared" ref="L27:L32" si="10">J27*K27</f>
        <v>21.4375</v>
      </c>
      <c r="M27" s="204">
        <f t="shared" ref="M27:M32" si="11">J27+K27*2</f>
        <v>14.583333333333332</v>
      </c>
    </row>
    <row r="28" spans="1:13" ht="16.5" customHeight="1" x14ac:dyDescent="0.25">
      <c r="A28" s="295">
        <v>2</v>
      </c>
      <c r="B28" s="299" t="s">
        <v>467</v>
      </c>
      <c r="C28" s="204" t="s">
        <v>431</v>
      </c>
      <c r="D28" s="204">
        <v>1</v>
      </c>
      <c r="E28" s="204" t="s">
        <v>473</v>
      </c>
      <c r="F28" s="204">
        <v>9</v>
      </c>
      <c r="G28" s="204" t="s">
        <v>469</v>
      </c>
      <c r="H28" s="204" t="s">
        <v>522</v>
      </c>
      <c r="I28" s="204"/>
      <c r="J28" s="204">
        <f>29+3/12</f>
        <v>29.25</v>
      </c>
      <c r="K28" s="204">
        <v>9</v>
      </c>
      <c r="L28" s="204">
        <f t="shared" si="10"/>
        <v>263.25</v>
      </c>
      <c r="M28" s="204">
        <f t="shared" si="11"/>
        <v>47.25</v>
      </c>
    </row>
    <row r="29" spans="1:13" ht="16.5" customHeight="1" x14ac:dyDescent="0.25">
      <c r="A29" s="295">
        <v>3</v>
      </c>
      <c r="B29" s="299" t="s">
        <v>470</v>
      </c>
      <c r="C29" s="204" t="s">
        <v>431</v>
      </c>
      <c r="D29" s="204">
        <v>3</v>
      </c>
      <c r="E29" s="204" t="s">
        <v>474</v>
      </c>
      <c r="F29" s="204" t="s">
        <v>474</v>
      </c>
      <c r="G29" s="204" t="s">
        <v>471</v>
      </c>
      <c r="H29" s="204" t="s">
        <v>523</v>
      </c>
      <c r="I29" s="204"/>
      <c r="J29" s="204">
        <f t="shared" ref="J29:K32" si="12">1+6/12</f>
        <v>1.5</v>
      </c>
      <c r="K29" s="204">
        <f t="shared" si="12"/>
        <v>1.5</v>
      </c>
      <c r="L29" s="204">
        <f t="shared" si="10"/>
        <v>2.25</v>
      </c>
      <c r="M29" s="204">
        <f t="shared" si="11"/>
        <v>4.5</v>
      </c>
    </row>
    <row r="30" spans="1:13" ht="16.5" customHeight="1" x14ac:dyDescent="0.25">
      <c r="A30" s="295">
        <v>4</v>
      </c>
      <c r="B30" s="299" t="s">
        <v>472</v>
      </c>
      <c r="C30" s="204" t="s">
        <v>431</v>
      </c>
      <c r="D30" s="204">
        <v>3</v>
      </c>
      <c r="E30" s="204" t="s">
        <v>474</v>
      </c>
      <c r="F30" s="204" t="s">
        <v>474</v>
      </c>
      <c r="G30" s="204" t="s">
        <v>471</v>
      </c>
      <c r="H30" s="204" t="s">
        <v>523</v>
      </c>
      <c r="I30" s="204"/>
      <c r="J30" s="204">
        <f t="shared" si="12"/>
        <v>1.5</v>
      </c>
      <c r="K30" s="204">
        <f t="shared" si="12"/>
        <v>1.5</v>
      </c>
      <c r="L30" s="204">
        <f t="shared" si="10"/>
        <v>2.25</v>
      </c>
      <c r="M30" s="204">
        <f t="shared" si="11"/>
        <v>4.5</v>
      </c>
    </row>
    <row r="31" spans="1:13" ht="16.5" customHeight="1" x14ac:dyDescent="0.25">
      <c r="A31" s="295"/>
      <c r="B31" s="300" t="s">
        <v>475</v>
      </c>
      <c r="C31" s="204"/>
      <c r="D31" s="204"/>
      <c r="E31" s="204"/>
      <c r="F31" s="204"/>
      <c r="G31" s="204"/>
      <c r="H31" s="204"/>
      <c r="I31" s="204"/>
      <c r="J31" s="204"/>
      <c r="K31" s="204"/>
      <c r="L31" s="204"/>
      <c r="M31" s="204"/>
    </row>
    <row r="32" spans="1:13" ht="16.5" customHeight="1" x14ac:dyDescent="0.25">
      <c r="A32" s="295" t="s">
        <v>476</v>
      </c>
      <c r="B32" s="299"/>
      <c r="C32" s="204" t="s">
        <v>471</v>
      </c>
      <c r="D32" s="204">
        <v>5</v>
      </c>
      <c r="E32" s="204" t="s">
        <v>474</v>
      </c>
      <c r="F32" s="204" t="s">
        <v>474</v>
      </c>
      <c r="G32" s="204" t="s">
        <v>471</v>
      </c>
      <c r="H32" s="204" t="s">
        <v>523</v>
      </c>
      <c r="I32" s="204"/>
      <c r="J32" s="204">
        <f t="shared" si="12"/>
        <v>1.5</v>
      </c>
      <c r="K32" s="204">
        <f t="shared" si="12"/>
        <v>1.5</v>
      </c>
      <c r="L32" s="204">
        <f t="shared" si="10"/>
        <v>2.25</v>
      </c>
      <c r="M32" s="204">
        <f t="shared" si="11"/>
        <v>4.5</v>
      </c>
    </row>
    <row r="33" spans="12:13" x14ac:dyDescent="0.25">
      <c r="L33" s="355">
        <f>SUM(L27:L32)</f>
        <v>291.4375</v>
      </c>
      <c r="M33" s="355">
        <f>SUM(M27:M32)</f>
        <v>75.333333333333329</v>
      </c>
    </row>
  </sheetData>
  <mergeCells count="2">
    <mergeCell ref="A1:I1"/>
    <mergeCell ref="A24:M2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8B6B-111B-49F1-97A0-D2AF99BB324D}">
  <dimension ref="A1:AH30"/>
  <sheetViews>
    <sheetView zoomScale="40" zoomScaleNormal="40" workbookViewId="0">
      <selection activeCell="Q34" sqref="Q34"/>
    </sheetView>
  </sheetViews>
  <sheetFormatPr defaultRowHeight="15" x14ac:dyDescent="0.25"/>
  <cols>
    <col min="3" max="3" width="21.140625" bestFit="1" customWidth="1"/>
  </cols>
  <sheetData>
    <row r="1" spans="1:34" ht="15.75" thickBot="1" x14ac:dyDescent="0.3"/>
    <row r="2" spans="1:34" x14ac:dyDescent="0.25">
      <c r="A2" s="195"/>
      <c r="B2" s="512" t="s">
        <v>243</v>
      </c>
      <c r="C2" s="512" t="s">
        <v>244</v>
      </c>
      <c r="D2" s="509" t="s">
        <v>245</v>
      </c>
      <c r="E2" s="509" t="s">
        <v>246</v>
      </c>
      <c r="F2" s="515" t="s">
        <v>247</v>
      </c>
      <c r="G2" s="515" t="s">
        <v>285</v>
      </c>
      <c r="H2" s="518" t="s">
        <v>248</v>
      </c>
      <c r="I2" s="527" t="s">
        <v>249</v>
      </c>
      <c r="J2" s="509" t="s">
        <v>250</v>
      </c>
      <c r="K2" s="524" t="s">
        <v>251</v>
      </c>
      <c r="L2" s="525"/>
      <c r="M2" s="525"/>
      <c r="N2" s="525"/>
      <c r="O2" s="525"/>
      <c r="P2" s="525"/>
      <c r="Q2" s="526"/>
      <c r="R2" s="503" t="s">
        <v>252</v>
      </c>
      <c r="S2" s="504"/>
      <c r="T2" s="504"/>
      <c r="U2" s="505"/>
      <c r="V2" s="509" t="s">
        <v>253</v>
      </c>
      <c r="W2" s="509" t="s">
        <v>254</v>
      </c>
      <c r="X2" s="509" t="s">
        <v>255</v>
      </c>
      <c r="Y2" s="524" t="s">
        <v>256</v>
      </c>
      <c r="Z2" s="525"/>
      <c r="AA2" s="525"/>
      <c r="AB2" s="525"/>
      <c r="AC2" s="525"/>
      <c r="AD2" s="525"/>
      <c r="AE2" s="525"/>
      <c r="AF2" s="526"/>
      <c r="AG2" s="512" t="s">
        <v>6</v>
      </c>
      <c r="AH2" s="195"/>
    </row>
    <row r="3" spans="1:34" x14ac:dyDescent="0.25">
      <c r="A3" s="195"/>
      <c r="B3" s="513"/>
      <c r="C3" s="513"/>
      <c r="D3" s="510"/>
      <c r="E3" s="510"/>
      <c r="F3" s="516"/>
      <c r="G3" s="516"/>
      <c r="H3" s="519"/>
      <c r="I3" s="528"/>
      <c r="J3" s="510"/>
      <c r="K3" s="512" t="s">
        <v>218</v>
      </c>
      <c r="L3" s="512" t="s">
        <v>257</v>
      </c>
      <c r="M3" s="512" t="s">
        <v>258</v>
      </c>
      <c r="N3" s="512" t="s">
        <v>259</v>
      </c>
      <c r="O3" s="512" t="s">
        <v>260</v>
      </c>
      <c r="P3" s="512" t="s">
        <v>261</v>
      </c>
      <c r="Q3" s="512" t="s">
        <v>262</v>
      </c>
      <c r="R3" s="506"/>
      <c r="S3" s="507"/>
      <c r="T3" s="507"/>
      <c r="U3" s="508"/>
      <c r="V3" s="510"/>
      <c r="W3" s="510"/>
      <c r="X3" s="510"/>
      <c r="Y3" s="199">
        <v>3</v>
      </c>
      <c r="Z3" s="199">
        <v>4</v>
      </c>
      <c r="AA3" s="199">
        <v>5</v>
      </c>
      <c r="AB3" s="199">
        <v>6</v>
      </c>
      <c r="AC3" s="199">
        <v>7</v>
      </c>
      <c r="AD3" s="199">
        <v>8</v>
      </c>
      <c r="AE3" s="199">
        <v>9</v>
      </c>
      <c r="AF3" s="199">
        <v>10</v>
      </c>
      <c r="AG3" s="513"/>
      <c r="AH3" s="195"/>
    </row>
    <row r="4" spans="1:34" ht="15.75" thickBot="1" x14ac:dyDescent="0.3">
      <c r="A4" s="195"/>
      <c r="B4" s="514"/>
      <c r="C4" s="514"/>
      <c r="D4" s="511"/>
      <c r="E4" s="510"/>
      <c r="F4" s="517"/>
      <c r="G4" s="517"/>
      <c r="H4" s="520"/>
      <c r="I4" s="529"/>
      <c r="J4" s="511"/>
      <c r="K4" s="514"/>
      <c r="L4" s="514"/>
      <c r="M4" s="514"/>
      <c r="N4" s="514"/>
      <c r="O4" s="514"/>
      <c r="P4" s="514"/>
      <c r="Q4" s="514"/>
      <c r="R4" s="506"/>
      <c r="S4" s="507"/>
      <c r="T4" s="507"/>
      <c r="U4" s="508"/>
      <c r="V4" s="510"/>
      <c r="W4" s="511"/>
      <c r="X4" s="511"/>
      <c r="Y4" s="199">
        <v>0.376</v>
      </c>
      <c r="Z4" s="199">
        <v>0.66800000000000004</v>
      </c>
      <c r="AA4" s="199">
        <v>1.0429999999999999</v>
      </c>
      <c r="AB4" s="199">
        <v>1.502</v>
      </c>
      <c r="AC4" s="199">
        <v>2.044</v>
      </c>
      <c r="AD4" s="199">
        <v>2.67</v>
      </c>
      <c r="AE4" s="199">
        <v>3.4</v>
      </c>
      <c r="AF4" s="199">
        <v>4.3029999999999999</v>
      </c>
      <c r="AG4" s="514"/>
      <c r="AH4" s="195"/>
    </row>
    <row r="5" spans="1:34" x14ac:dyDescent="0.25">
      <c r="A5" s="193"/>
      <c r="B5" s="490"/>
      <c r="C5" s="536" t="s">
        <v>340</v>
      </c>
      <c r="D5" s="490">
        <v>5</v>
      </c>
      <c r="E5" s="490">
        <v>0.625</v>
      </c>
      <c r="F5" s="490"/>
      <c r="G5" s="490">
        <v>0</v>
      </c>
      <c r="H5" s="490"/>
      <c r="I5" s="490">
        <f>ROUNDUP(14.92/0.67,0)</f>
        <v>23</v>
      </c>
      <c r="J5" s="490">
        <v>1</v>
      </c>
      <c r="K5" s="490"/>
      <c r="L5" s="490">
        <f>8*12</f>
        <v>96</v>
      </c>
      <c r="M5" s="490"/>
      <c r="N5" s="490"/>
      <c r="O5" s="490"/>
      <c r="P5" s="490"/>
      <c r="Q5" s="490"/>
      <c r="R5" s="213"/>
      <c r="S5" s="502"/>
      <c r="T5" s="502"/>
      <c r="U5" s="214"/>
      <c r="V5" s="490">
        <f>SUM(R5:U9)</f>
        <v>8</v>
      </c>
      <c r="W5" s="490">
        <f>+SUM(K5:Q9)</f>
        <v>96</v>
      </c>
      <c r="X5" s="490">
        <f>(+I5*J5*W5)/12</f>
        <v>184</v>
      </c>
      <c r="Y5" s="490">
        <f t="shared" ref="Y5:AF5" si="0">IF(Y$3=$D5,$X5*Y$4,0)</f>
        <v>0</v>
      </c>
      <c r="Z5" s="490">
        <f t="shared" si="0"/>
        <v>0</v>
      </c>
      <c r="AA5" s="490">
        <f t="shared" si="0"/>
        <v>191.91199999999998</v>
      </c>
      <c r="AB5" s="490">
        <f t="shared" si="0"/>
        <v>0</v>
      </c>
      <c r="AC5" s="490">
        <f t="shared" si="0"/>
        <v>0</v>
      </c>
      <c r="AD5" s="490">
        <f t="shared" si="0"/>
        <v>0</v>
      </c>
      <c r="AE5" s="490">
        <f t="shared" si="0"/>
        <v>0</v>
      </c>
      <c r="AF5" s="490">
        <f t="shared" si="0"/>
        <v>0</v>
      </c>
      <c r="AG5" s="490"/>
      <c r="AH5" s="193"/>
    </row>
    <row r="6" spans="1:34" x14ac:dyDescent="0.25">
      <c r="A6" s="193"/>
      <c r="B6" s="491"/>
      <c r="C6" s="537"/>
      <c r="D6" s="491"/>
      <c r="E6" s="491"/>
      <c r="F6" s="491"/>
      <c r="G6" s="491"/>
      <c r="H6" s="491"/>
      <c r="I6" s="491"/>
      <c r="J6" s="491"/>
      <c r="K6" s="491"/>
      <c r="L6" s="491"/>
      <c r="M6" s="491"/>
      <c r="N6" s="491"/>
      <c r="O6" s="491"/>
      <c r="P6" s="491"/>
      <c r="Q6" s="491"/>
      <c r="R6" s="213"/>
      <c r="S6" s="215"/>
      <c r="T6" s="216"/>
      <c r="U6" s="214"/>
      <c r="V6" s="491"/>
      <c r="W6" s="491"/>
      <c r="X6" s="491"/>
      <c r="Y6" s="491"/>
      <c r="Z6" s="491"/>
      <c r="AA6" s="491"/>
      <c r="AB6" s="491"/>
      <c r="AC6" s="491"/>
      <c r="AD6" s="491"/>
      <c r="AE6" s="491"/>
      <c r="AF6" s="491"/>
      <c r="AG6" s="491"/>
      <c r="AH6" s="193"/>
    </row>
    <row r="7" spans="1:34" x14ac:dyDescent="0.25">
      <c r="A7" s="193"/>
      <c r="B7" s="491"/>
      <c r="C7" s="537"/>
      <c r="D7" s="491"/>
      <c r="E7" s="491"/>
      <c r="F7" s="491"/>
      <c r="G7" s="491"/>
      <c r="H7" s="491"/>
      <c r="I7" s="491"/>
      <c r="J7" s="491"/>
      <c r="K7" s="491"/>
      <c r="L7" s="491"/>
      <c r="M7" s="491"/>
      <c r="N7" s="491"/>
      <c r="O7" s="491"/>
      <c r="P7" s="491"/>
      <c r="Q7" s="491"/>
      <c r="R7" s="217"/>
      <c r="S7" s="218"/>
      <c r="T7" s="218"/>
      <c r="U7" s="219"/>
      <c r="V7" s="491"/>
      <c r="W7" s="491"/>
      <c r="X7" s="491"/>
      <c r="Y7" s="491"/>
      <c r="Z7" s="491"/>
      <c r="AA7" s="491"/>
      <c r="AB7" s="491"/>
      <c r="AC7" s="491"/>
      <c r="AD7" s="491"/>
      <c r="AE7" s="491"/>
      <c r="AF7" s="491"/>
      <c r="AG7" s="491"/>
      <c r="AH7" s="193"/>
    </row>
    <row r="8" spans="1:34" ht="15.75" thickBot="1" x14ac:dyDescent="0.3">
      <c r="A8" s="193"/>
      <c r="B8" s="491"/>
      <c r="C8" s="537"/>
      <c r="D8" s="491"/>
      <c r="E8" s="491"/>
      <c r="F8" s="491"/>
      <c r="G8" s="491"/>
      <c r="H8" s="491"/>
      <c r="I8" s="491"/>
      <c r="J8" s="491"/>
      <c r="K8" s="491"/>
      <c r="L8" s="491"/>
      <c r="M8" s="491"/>
      <c r="N8" s="491"/>
      <c r="O8" s="491"/>
      <c r="P8" s="491"/>
      <c r="Q8" s="491"/>
      <c r="R8" s="213"/>
      <c r="S8" s="220"/>
      <c r="T8" s="220"/>
      <c r="U8" s="214"/>
      <c r="V8" s="491"/>
      <c r="W8" s="491"/>
      <c r="X8" s="491"/>
      <c r="Y8" s="491"/>
      <c r="Z8" s="491"/>
      <c r="AA8" s="491"/>
      <c r="AB8" s="491"/>
      <c r="AC8" s="491"/>
      <c r="AD8" s="491"/>
      <c r="AE8" s="491"/>
      <c r="AF8" s="491"/>
      <c r="AG8" s="491"/>
      <c r="AH8" s="193"/>
    </row>
    <row r="9" spans="1:34" ht="15.75" thickBot="1" x14ac:dyDescent="0.3">
      <c r="A9" s="193"/>
      <c r="B9" s="492"/>
      <c r="C9" s="538"/>
      <c r="D9" s="492"/>
      <c r="E9" s="492"/>
      <c r="F9" s="492"/>
      <c r="G9" s="492"/>
      <c r="H9" s="492"/>
      <c r="I9" s="492"/>
      <c r="J9" s="492"/>
      <c r="K9" s="492"/>
      <c r="L9" s="492"/>
      <c r="M9" s="492"/>
      <c r="N9" s="492"/>
      <c r="O9" s="492"/>
      <c r="P9" s="492"/>
      <c r="Q9" s="492"/>
      <c r="R9" s="221"/>
      <c r="S9" s="493">
        <f>L5/12</f>
        <v>8</v>
      </c>
      <c r="T9" s="493"/>
      <c r="U9" s="222"/>
      <c r="V9" s="492"/>
      <c r="W9" s="492"/>
      <c r="X9" s="492"/>
      <c r="Y9" s="492"/>
      <c r="Z9" s="492"/>
      <c r="AA9" s="492"/>
      <c r="AB9" s="492"/>
      <c r="AC9" s="492"/>
      <c r="AD9" s="492"/>
      <c r="AE9" s="492"/>
      <c r="AF9" s="492"/>
      <c r="AG9" s="492"/>
      <c r="AH9" s="193"/>
    </row>
    <row r="10" spans="1:34" x14ac:dyDescent="0.25">
      <c r="A10" s="193"/>
      <c r="B10" s="490"/>
      <c r="C10" s="536" t="s">
        <v>340</v>
      </c>
      <c r="D10" s="490">
        <v>5</v>
      </c>
      <c r="E10" s="490">
        <v>0.625</v>
      </c>
      <c r="F10" s="490"/>
      <c r="G10" s="490">
        <v>0</v>
      </c>
      <c r="H10" s="490"/>
      <c r="I10" s="490">
        <f>ROUNDUP(13.75/0.67,0)</f>
        <v>21</v>
      </c>
      <c r="J10" s="490">
        <v>1</v>
      </c>
      <c r="K10" s="490"/>
      <c r="L10" s="490">
        <f>12*12</f>
        <v>144</v>
      </c>
      <c r="M10" s="490"/>
      <c r="N10" s="490"/>
      <c r="O10" s="490"/>
      <c r="P10" s="490"/>
      <c r="Q10" s="490"/>
      <c r="R10" s="213"/>
      <c r="S10" s="502"/>
      <c r="T10" s="502"/>
      <c r="U10" s="214"/>
      <c r="V10" s="490">
        <f>SUM(R10:U14)</f>
        <v>12</v>
      </c>
      <c r="W10" s="490">
        <f>+SUM(K10:Q14)</f>
        <v>144</v>
      </c>
      <c r="X10" s="490">
        <f>(+I10*J10*W10)/12</f>
        <v>252</v>
      </c>
      <c r="Y10" s="490">
        <f t="shared" ref="Y10:AF10" si="1">IF(Y$3=$D10,$X10*Y$4,0)</f>
        <v>0</v>
      </c>
      <c r="Z10" s="490">
        <f t="shared" si="1"/>
        <v>0</v>
      </c>
      <c r="AA10" s="490">
        <f t="shared" si="1"/>
        <v>262.83599999999996</v>
      </c>
      <c r="AB10" s="490">
        <f t="shared" si="1"/>
        <v>0</v>
      </c>
      <c r="AC10" s="490">
        <f t="shared" si="1"/>
        <v>0</v>
      </c>
      <c r="AD10" s="490">
        <f t="shared" si="1"/>
        <v>0</v>
      </c>
      <c r="AE10" s="490">
        <f t="shared" si="1"/>
        <v>0</v>
      </c>
      <c r="AF10" s="490">
        <f t="shared" si="1"/>
        <v>0</v>
      </c>
      <c r="AG10" s="490"/>
      <c r="AH10" s="193"/>
    </row>
    <row r="11" spans="1:34" x14ac:dyDescent="0.25">
      <c r="A11" s="193"/>
      <c r="B11" s="491"/>
      <c r="C11" s="537"/>
      <c r="D11" s="491"/>
      <c r="E11" s="491"/>
      <c r="F11" s="491"/>
      <c r="G11" s="491"/>
      <c r="H11" s="491"/>
      <c r="I11" s="491"/>
      <c r="J11" s="491"/>
      <c r="K11" s="491"/>
      <c r="L11" s="491"/>
      <c r="M11" s="491"/>
      <c r="N11" s="491"/>
      <c r="O11" s="491"/>
      <c r="P11" s="491"/>
      <c r="Q11" s="491"/>
      <c r="R11" s="213"/>
      <c r="S11" s="215"/>
      <c r="T11" s="216"/>
      <c r="U11" s="214"/>
      <c r="V11" s="491"/>
      <c r="W11" s="491"/>
      <c r="X11" s="491"/>
      <c r="Y11" s="491"/>
      <c r="Z11" s="491"/>
      <c r="AA11" s="491"/>
      <c r="AB11" s="491"/>
      <c r="AC11" s="491"/>
      <c r="AD11" s="491"/>
      <c r="AE11" s="491"/>
      <c r="AF11" s="491"/>
      <c r="AG11" s="491"/>
      <c r="AH11" s="193"/>
    </row>
    <row r="12" spans="1:34" x14ac:dyDescent="0.25">
      <c r="A12" s="193"/>
      <c r="B12" s="491"/>
      <c r="C12" s="537"/>
      <c r="D12" s="491"/>
      <c r="E12" s="491"/>
      <c r="F12" s="491"/>
      <c r="G12" s="491"/>
      <c r="H12" s="491"/>
      <c r="I12" s="491"/>
      <c r="J12" s="491"/>
      <c r="K12" s="491"/>
      <c r="L12" s="491"/>
      <c r="M12" s="491"/>
      <c r="N12" s="491"/>
      <c r="O12" s="491"/>
      <c r="P12" s="491"/>
      <c r="Q12" s="491"/>
      <c r="R12" s="217"/>
      <c r="S12" s="218"/>
      <c r="T12" s="218"/>
      <c r="U12" s="219"/>
      <c r="V12" s="491"/>
      <c r="W12" s="491"/>
      <c r="X12" s="491"/>
      <c r="Y12" s="491"/>
      <c r="Z12" s="491"/>
      <c r="AA12" s="491"/>
      <c r="AB12" s="491"/>
      <c r="AC12" s="491"/>
      <c r="AD12" s="491"/>
      <c r="AE12" s="491"/>
      <c r="AF12" s="491"/>
      <c r="AG12" s="491"/>
      <c r="AH12" s="193"/>
    </row>
    <row r="13" spans="1:34" ht="15.75" thickBot="1" x14ac:dyDescent="0.3">
      <c r="A13" s="193"/>
      <c r="B13" s="491"/>
      <c r="C13" s="537"/>
      <c r="D13" s="491"/>
      <c r="E13" s="491"/>
      <c r="F13" s="491"/>
      <c r="G13" s="491"/>
      <c r="H13" s="491"/>
      <c r="I13" s="491"/>
      <c r="J13" s="491"/>
      <c r="K13" s="491"/>
      <c r="L13" s="491"/>
      <c r="M13" s="491"/>
      <c r="N13" s="491"/>
      <c r="O13" s="491"/>
      <c r="P13" s="491"/>
      <c r="Q13" s="491"/>
      <c r="R13" s="213"/>
      <c r="S13" s="220"/>
      <c r="T13" s="220"/>
      <c r="U13" s="214"/>
      <c r="V13" s="491"/>
      <c r="W13" s="491"/>
      <c r="X13" s="491"/>
      <c r="Y13" s="491"/>
      <c r="Z13" s="491"/>
      <c r="AA13" s="491"/>
      <c r="AB13" s="491"/>
      <c r="AC13" s="491"/>
      <c r="AD13" s="491"/>
      <c r="AE13" s="491"/>
      <c r="AF13" s="491"/>
      <c r="AG13" s="491"/>
      <c r="AH13" s="193"/>
    </row>
    <row r="14" spans="1:34" ht="15.75" thickBot="1" x14ac:dyDescent="0.3">
      <c r="A14" s="193"/>
      <c r="B14" s="492"/>
      <c r="C14" s="538"/>
      <c r="D14" s="492"/>
      <c r="E14" s="492"/>
      <c r="F14" s="492"/>
      <c r="G14" s="492"/>
      <c r="H14" s="492"/>
      <c r="I14" s="492"/>
      <c r="J14" s="492"/>
      <c r="K14" s="492"/>
      <c r="L14" s="492"/>
      <c r="M14" s="492"/>
      <c r="N14" s="492"/>
      <c r="O14" s="492"/>
      <c r="P14" s="492"/>
      <c r="Q14" s="492"/>
      <c r="R14" s="221"/>
      <c r="S14" s="493">
        <f>L10/12</f>
        <v>12</v>
      </c>
      <c r="T14" s="493"/>
      <c r="U14" s="222"/>
      <c r="V14" s="492"/>
      <c r="W14" s="492"/>
      <c r="X14" s="492"/>
      <c r="Y14" s="492"/>
      <c r="Z14" s="492"/>
      <c r="AA14" s="492"/>
      <c r="AB14" s="492"/>
      <c r="AC14" s="492"/>
      <c r="AD14" s="492"/>
      <c r="AE14" s="492"/>
      <c r="AF14" s="492"/>
      <c r="AG14" s="492"/>
      <c r="AH14" s="193"/>
    </row>
    <row r="15" spans="1:34" x14ac:dyDescent="0.25">
      <c r="A15" s="193"/>
      <c r="B15" s="490"/>
      <c r="C15" s="533" t="s">
        <v>344</v>
      </c>
      <c r="D15" s="490">
        <v>5</v>
      </c>
      <c r="E15" s="490">
        <v>0.625</v>
      </c>
      <c r="F15" s="490"/>
      <c r="G15" s="490">
        <v>0</v>
      </c>
      <c r="H15" s="490"/>
      <c r="I15" s="490">
        <f>ROUNDUP(20.67/0.67,0)</f>
        <v>31</v>
      </c>
      <c r="J15" s="490">
        <v>1</v>
      </c>
      <c r="K15" s="490"/>
      <c r="L15" s="490">
        <f>38.67*12</f>
        <v>464.04</v>
      </c>
      <c r="M15" s="490"/>
      <c r="N15" s="490"/>
      <c r="O15" s="490"/>
      <c r="P15" s="490"/>
      <c r="Q15" s="490"/>
      <c r="R15" s="213"/>
      <c r="S15" s="502"/>
      <c r="T15" s="502"/>
      <c r="U15" s="214"/>
      <c r="V15" s="490">
        <f>SUM(R15:U19)</f>
        <v>38.67</v>
      </c>
      <c r="W15" s="490">
        <f>+SUM(K15:Q19)</f>
        <v>464.04</v>
      </c>
      <c r="X15" s="490">
        <f>(+I15*J15*W15)/12</f>
        <v>1198.77</v>
      </c>
      <c r="Y15" s="490">
        <f t="shared" ref="Y15:AF15" si="2">IF(Y$3=$D15,$X15*Y$4,0)</f>
        <v>0</v>
      </c>
      <c r="Z15" s="490">
        <f t="shared" si="2"/>
        <v>0</v>
      </c>
      <c r="AA15" s="490">
        <f t="shared" si="2"/>
        <v>1250.31711</v>
      </c>
      <c r="AB15" s="490">
        <f t="shared" si="2"/>
        <v>0</v>
      </c>
      <c r="AC15" s="490">
        <f t="shared" si="2"/>
        <v>0</v>
      </c>
      <c r="AD15" s="490">
        <f t="shared" si="2"/>
        <v>0</v>
      </c>
      <c r="AE15" s="490">
        <f t="shared" si="2"/>
        <v>0</v>
      </c>
      <c r="AF15" s="490">
        <f t="shared" si="2"/>
        <v>0</v>
      </c>
      <c r="AG15" s="490"/>
      <c r="AH15" s="193"/>
    </row>
    <row r="16" spans="1:34" x14ac:dyDescent="0.25">
      <c r="A16" s="193"/>
      <c r="B16" s="491"/>
      <c r="C16" s="534"/>
      <c r="D16" s="491"/>
      <c r="E16" s="491"/>
      <c r="F16" s="491"/>
      <c r="G16" s="491"/>
      <c r="H16" s="491"/>
      <c r="I16" s="491"/>
      <c r="J16" s="491"/>
      <c r="K16" s="491"/>
      <c r="L16" s="491"/>
      <c r="M16" s="491"/>
      <c r="N16" s="491"/>
      <c r="O16" s="491"/>
      <c r="P16" s="491"/>
      <c r="Q16" s="491"/>
      <c r="R16" s="213"/>
      <c r="S16" s="215"/>
      <c r="T16" s="216"/>
      <c r="U16" s="214"/>
      <c r="V16" s="491"/>
      <c r="W16" s="491"/>
      <c r="X16" s="491"/>
      <c r="Y16" s="491"/>
      <c r="Z16" s="491"/>
      <c r="AA16" s="491"/>
      <c r="AB16" s="491"/>
      <c r="AC16" s="491"/>
      <c r="AD16" s="491"/>
      <c r="AE16" s="491"/>
      <c r="AF16" s="491"/>
      <c r="AG16" s="491"/>
      <c r="AH16" s="193"/>
    </row>
    <row r="17" spans="1:34" x14ac:dyDescent="0.25">
      <c r="A17" s="193"/>
      <c r="B17" s="491"/>
      <c r="C17" s="534"/>
      <c r="D17" s="491"/>
      <c r="E17" s="491"/>
      <c r="F17" s="491"/>
      <c r="G17" s="491"/>
      <c r="H17" s="491"/>
      <c r="I17" s="491"/>
      <c r="J17" s="491"/>
      <c r="K17" s="491"/>
      <c r="L17" s="491"/>
      <c r="M17" s="491"/>
      <c r="N17" s="491"/>
      <c r="O17" s="491"/>
      <c r="P17" s="491"/>
      <c r="Q17" s="491"/>
      <c r="R17" s="217"/>
      <c r="S17" s="218"/>
      <c r="T17" s="218"/>
      <c r="U17" s="219"/>
      <c r="V17" s="491"/>
      <c r="W17" s="491"/>
      <c r="X17" s="491"/>
      <c r="Y17" s="491"/>
      <c r="Z17" s="491"/>
      <c r="AA17" s="491"/>
      <c r="AB17" s="491"/>
      <c r="AC17" s="491"/>
      <c r="AD17" s="491"/>
      <c r="AE17" s="491"/>
      <c r="AF17" s="491"/>
      <c r="AG17" s="491"/>
      <c r="AH17" s="193"/>
    </row>
    <row r="18" spans="1:34" ht="15.75" thickBot="1" x14ac:dyDescent="0.3">
      <c r="A18" s="193"/>
      <c r="B18" s="491"/>
      <c r="C18" s="534"/>
      <c r="D18" s="491"/>
      <c r="E18" s="491"/>
      <c r="F18" s="491"/>
      <c r="G18" s="491"/>
      <c r="H18" s="491"/>
      <c r="I18" s="491"/>
      <c r="J18" s="491"/>
      <c r="K18" s="491"/>
      <c r="L18" s="491"/>
      <c r="M18" s="491"/>
      <c r="N18" s="491"/>
      <c r="O18" s="491"/>
      <c r="P18" s="491"/>
      <c r="Q18" s="491"/>
      <c r="R18" s="213"/>
      <c r="S18" s="220"/>
      <c r="T18" s="220"/>
      <c r="U18" s="214"/>
      <c r="V18" s="491"/>
      <c r="W18" s="491"/>
      <c r="X18" s="491"/>
      <c r="Y18" s="491"/>
      <c r="Z18" s="491"/>
      <c r="AA18" s="491"/>
      <c r="AB18" s="491"/>
      <c r="AC18" s="491"/>
      <c r="AD18" s="491"/>
      <c r="AE18" s="491"/>
      <c r="AF18" s="491"/>
      <c r="AG18" s="491"/>
      <c r="AH18" s="193"/>
    </row>
    <row r="19" spans="1:34" ht="15.75" thickBot="1" x14ac:dyDescent="0.3">
      <c r="A19" s="193"/>
      <c r="B19" s="492"/>
      <c r="C19" s="535"/>
      <c r="D19" s="492"/>
      <c r="E19" s="492"/>
      <c r="F19" s="492"/>
      <c r="G19" s="492"/>
      <c r="H19" s="492"/>
      <c r="I19" s="492"/>
      <c r="J19" s="492"/>
      <c r="K19" s="492"/>
      <c r="L19" s="492"/>
      <c r="M19" s="492"/>
      <c r="N19" s="492"/>
      <c r="O19" s="492"/>
      <c r="P19" s="492"/>
      <c r="Q19" s="492"/>
      <c r="R19" s="221"/>
      <c r="S19" s="493">
        <f>L15/12</f>
        <v>38.67</v>
      </c>
      <c r="T19" s="493"/>
      <c r="U19" s="222"/>
      <c r="V19" s="492"/>
      <c r="W19" s="492"/>
      <c r="X19" s="492"/>
      <c r="Y19" s="492"/>
      <c r="Z19" s="492"/>
      <c r="AA19" s="492"/>
      <c r="AB19" s="492"/>
      <c r="AC19" s="492"/>
      <c r="AD19" s="492"/>
      <c r="AE19" s="492"/>
      <c r="AF19" s="492"/>
      <c r="AG19" s="492"/>
      <c r="AH19" s="193"/>
    </row>
    <row r="20" spans="1:34" x14ac:dyDescent="0.25">
      <c r="A20" s="193"/>
      <c r="B20" s="490"/>
      <c r="C20" s="530" t="s">
        <v>343</v>
      </c>
      <c r="D20" s="490">
        <v>5</v>
      </c>
      <c r="E20" s="490">
        <v>0.625</v>
      </c>
      <c r="F20" s="490"/>
      <c r="G20" s="490">
        <v>0</v>
      </c>
      <c r="H20" s="490"/>
      <c r="I20" s="490">
        <f>ROUNDUP(39/0.67,0)</f>
        <v>59</v>
      </c>
      <c r="J20" s="490">
        <v>1</v>
      </c>
      <c r="K20" s="490"/>
      <c r="L20" s="490">
        <f>20.33*12</f>
        <v>243.95999999999998</v>
      </c>
      <c r="M20" s="490"/>
      <c r="N20" s="490"/>
      <c r="O20" s="490"/>
      <c r="P20" s="490"/>
      <c r="Q20" s="490"/>
      <c r="R20" s="213"/>
      <c r="S20" s="502"/>
      <c r="T20" s="502"/>
      <c r="U20" s="214"/>
      <c r="V20" s="490">
        <f>SUM(R20:U24)</f>
        <v>20.329999999999998</v>
      </c>
      <c r="W20" s="490">
        <f>+SUM(K20:Q24)</f>
        <v>243.95999999999998</v>
      </c>
      <c r="X20" s="490">
        <f>(+I20*J20*W20)/12</f>
        <v>1199.47</v>
      </c>
      <c r="Y20" s="490">
        <f t="shared" ref="Y20:AF20" si="3">IF(Y$3=$D20,$X20*Y$4,0)</f>
        <v>0</v>
      </c>
      <c r="Z20" s="490">
        <f t="shared" si="3"/>
        <v>0</v>
      </c>
      <c r="AA20" s="490">
        <f t="shared" si="3"/>
        <v>1251.04721</v>
      </c>
      <c r="AB20" s="490">
        <f t="shared" si="3"/>
        <v>0</v>
      </c>
      <c r="AC20" s="490">
        <f t="shared" si="3"/>
        <v>0</v>
      </c>
      <c r="AD20" s="490">
        <f t="shared" si="3"/>
        <v>0</v>
      </c>
      <c r="AE20" s="490">
        <f t="shared" si="3"/>
        <v>0</v>
      </c>
      <c r="AF20" s="490">
        <f t="shared" si="3"/>
        <v>0</v>
      </c>
      <c r="AG20" s="490"/>
      <c r="AH20" s="193"/>
    </row>
    <row r="21" spans="1:34" x14ac:dyDescent="0.25">
      <c r="A21" s="193"/>
      <c r="B21" s="491"/>
      <c r="C21" s="531"/>
      <c r="D21" s="491"/>
      <c r="E21" s="491"/>
      <c r="F21" s="491"/>
      <c r="G21" s="491"/>
      <c r="H21" s="491"/>
      <c r="I21" s="491"/>
      <c r="J21" s="491"/>
      <c r="K21" s="491"/>
      <c r="L21" s="491"/>
      <c r="M21" s="491"/>
      <c r="N21" s="491"/>
      <c r="O21" s="491"/>
      <c r="P21" s="491"/>
      <c r="Q21" s="491"/>
      <c r="R21" s="213"/>
      <c r="S21" s="215"/>
      <c r="T21" s="216"/>
      <c r="U21" s="214"/>
      <c r="V21" s="491"/>
      <c r="W21" s="491"/>
      <c r="X21" s="491"/>
      <c r="Y21" s="491"/>
      <c r="Z21" s="491"/>
      <c r="AA21" s="491"/>
      <c r="AB21" s="491"/>
      <c r="AC21" s="491"/>
      <c r="AD21" s="491"/>
      <c r="AE21" s="491"/>
      <c r="AF21" s="491"/>
      <c r="AG21" s="491"/>
      <c r="AH21" s="193"/>
    </row>
    <row r="22" spans="1:34" x14ac:dyDescent="0.25">
      <c r="A22" s="193"/>
      <c r="B22" s="491"/>
      <c r="C22" s="531"/>
      <c r="D22" s="491"/>
      <c r="E22" s="491"/>
      <c r="F22" s="491"/>
      <c r="G22" s="491"/>
      <c r="H22" s="491"/>
      <c r="I22" s="491"/>
      <c r="J22" s="491"/>
      <c r="K22" s="491"/>
      <c r="L22" s="491"/>
      <c r="M22" s="491"/>
      <c r="N22" s="491"/>
      <c r="O22" s="491"/>
      <c r="P22" s="491"/>
      <c r="Q22" s="491"/>
      <c r="R22" s="217"/>
      <c r="S22" s="218"/>
      <c r="T22" s="218"/>
      <c r="U22" s="219"/>
      <c r="V22" s="491"/>
      <c r="W22" s="491"/>
      <c r="X22" s="491"/>
      <c r="Y22" s="491"/>
      <c r="Z22" s="491"/>
      <c r="AA22" s="491"/>
      <c r="AB22" s="491"/>
      <c r="AC22" s="491"/>
      <c r="AD22" s="491"/>
      <c r="AE22" s="491"/>
      <c r="AF22" s="491"/>
      <c r="AG22" s="491"/>
      <c r="AH22" s="193"/>
    </row>
    <row r="23" spans="1:34" ht="15.75" thickBot="1" x14ac:dyDescent="0.3">
      <c r="A23" s="193"/>
      <c r="B23" s="491"/>
      <c r="C23" s="531"/>
      <c r="D23" s="491"/>
      <c r="E23" s="491"/>
      <c r="F23" s="491"/>
      <c r="G23" s="491"/>
      <c r="H23" s="491"/>
      <c r="I23" s="491"/>
      <c r="J23" s="491"/>
      <c r="K23" s="491"/>
      <c r="L23" s="491"/>
      <c r="M23" s="491"/>
      <c r="N23" s="491"/>
      <c r="O23" s="491"/>
      <c r="P23" s="491"/>
      <c r="Q23" s="491"/>
      <c r="R23" s="213"/>
      <c r="S23" s="220"/>
      <c r="T23" s="220"/>
      <c r="U23" s="214"/>
      <c r="V23" s="491"/>
      <c r="W23" s="491"/>
      <c r="X23" s="491"/>
      <c r="Y23" s="491"/>
      <c r="Z23" s="491"/>
      <c r="AA23" s="491"/>
      <c r="AB23" s="491"/>
      <c r="AC23" s="491"/>
      <c r="AD23" s="491"/>
      <c r="AE23" s="491"/>
      <c r="AF23" s="491"/>
      <c r="AG23" s="491"/>
      <c r="AH23" s="193"/>
    </row>
    <row r="24" spans="1:34" ht="15.75" thickBot="1" x14ac:dyDescent="0.3">
      <c r="A24" s="193"/>
      <c r="B24" s="492"/>
      <c r="C24" s="532"/>
      <c r="D24" s="492"/>
      <c r="E24" s="492"/>
      <c r="F24" s="492"/>
      <c r="G24" s="492"/>
      <c r="H24" s="492"/>
      <c r="I24" s="492"/>
      <c r="J24" s="492"/>
      <c r="K24" s="492"/>
      <c r="L24" s="492"/>
      <c r="M24" s="492"/>
      <c r="N24" s="492"/>
      <c r="O24" s="492"/>
      <c r="P24" s="492"/>
      <c r="Q24" s="492"/>
      <c r="R24" s="221"/>
      <c r="S24" s="493">
        <f>L20/12</f>
        <v>20.329999999999998</v>
      </c>
      <c r="T24" s="493"/>
      <c r="U24" s="222"/>
      <c r="V24" s="492"/>
      <c r="W24" s="492"/>
      <c r="X24" s="492"/>
      <c r="Y24" s="492"/>
      <c r="Z24" s="492"/>
      <c r="AA24" s="492"/>
      <c r="AB24" s="492"/>
      <c r="AC24" s="492"/>
      <c r="AD24" s="492"/>
      <c r="AE24" s="492"/>
      <c r="AF24" s="492"/>
      <c r="AG24" s="492"/>
      <c r="AH24" s="193"/>
    </row>
    <row r="25" spans="1:34" x14ac:dyDescent="0.25">
      <c r="A25" s="193"/>
      <c r="B25" s="490"/>
      <c r="C25" s="530" t="s">
        <v>345</v>
      </c>
      <c r="D25" s="490">
        <v>5</v>
      </c>
      <c r="E25" s="490">
        <v>0.625</v>
      </c>
      <c r="F25" s="490"/>
      <c r="G25" s="490">
        <v>0</v>
      </c>
      <c r="H25" s="490"/>
      <c r="I25" s="490">
        <f>ROUNDUP(27.75/0.67,0)</f>
        <v>42</v>
      </c>
      <c r="J25" s="490">
        <v>1</v>
      </c>
      <c r="K25" s="490"/>
      <c r="L25" s="490">
        <f>20.5*12</f>
        <v>246</v>
      </c>
      <c r="M25" s="490"/>
      <c r="N25" s="490"/>
      <c r="O25" s="490"/>
      <c r="P25" s="490"/>
      <c r="Q25" s="490"/>
      <c r="R25" s="213"/>
      <c r="S25" s="502"/>
      <c r="T25" s="502"/>
      <c r="U25" s="214"/>
      <c r="V25" s="490">
        <f>SUM(R25:U29)</f>
        <v>20.5</v>
      </c>
      <c r="W25" s="490">
        <f>+SUM(K25:Q29)</f>
        <v>246</v>
      </c>
      <c r="X25" s="490">
        <f>(+I25*J25*W25)/12</f>
        <v>861</v>
      </c>
      <c r="Y25" s="490">
        <f t="shared" ref="Y25:AF25" si="4">IF(Y$3=$D25,$X25*Y$4,0)</f>
        <v>0</v>
      </c>
      <c r="Z25" s="490">
        <f t="shared" si="4"/>
        <v>0</v>
      </c>
      <c r="AA25" s="490">
        <f t="shared" si="4"/>
        <v>898.02299999999991</v>
      </c>
      <c r="AB25" s="490">
        <f t="shared" si="4"/>
        <v>0</v>
      </c>
      <c r="AC25" s="490">
        <f t="shared" si="4"/>
        <v>0</v>
      </c>
      <c r="AD25" s="490">
        <f t="shared" si="4"/>
        <v>0</v>
      </c>
      <c r="AE25" s="490">
        <f t="shared" si="4"/>
        <v>0</v>
      </c>
      <c r="AF25" s="490">
        <f t="shared" si="4"/>
        <v>0</v>
      </c>
      <c r="AG25" s="490"/>
      <c r="AH25" s="193"/>
    </row>
    <row r="26" spans="1:34" x14ac:dyDescent="0.25">
      <c r="A26" s="193"/>
      <c r="B26" s="491"/>
      <c r="C26" s="531"/>
      <c r="D26" s="491"/>
      <c r="E26" s="491"/>
      <c r="F26" s="491"/>
      <c r="G26" s="491"/>
      <c r="H26" s="491"/>
      <c r="I26" s="491"/>
      <c r="J26" s="491"/>
      <c r="K26" s="491"/>
      <c r="L26" s="491"/>
      <c r="M26" s="491"/>
      <c r="N26" s="491"/>
      <c r="O26" s="491"/>
      <c r="P26" s="491"/>
      <c r="Q26" s="491"/>
      <c r="R26" s="213"/>
      <c r="S26" s="215"/>
      <c r="T26" s="216"/>
      <c r="U26" s="214"/>
      <c r="V26" s="491"/>
      <c r="W26" s="491"/>
      <c r="X26" s="491"/>
      <c r="Y26" s="491"/>
      <c r="Z26" s="491"/>
      <c r="AA26" s="491"/>
      <c r="AB26" s="491"/>
      <c r="AC26" s="491"/>
      <c r="AD26" s="491"/>
      <c r="AE26" s="491"/>
      <c r="AF26" s="491"/>
      <c r="AG26" s="491"/>
      <c r="AH26" s="193"/>
    </row>
    <row r="27" spans="1:34" x14ac:dyDescent="0.25">
      <c r="A27" s="193"/>
      <c r="B27" s="491"/>
      <c r="C27" s="531"/>
      <c r="D27" s="491"/>
      <c r="E27" s="491"/>
      <c r="F27" s="491"/>
      <c r="G27" s="491"/>
      <c r="H27" s="491"/>
      <c r="I27" s="491"/>
      <c r="J27" s="491"/>
      <c r="K27" s="491"/>
      <c r="L27" s="491"/>
      <c r="M27" s="491"/>
      <c r="N27" s="491"/>
      <c r="O27" s="491"/>
      <c r="P27" s="491"/>
      <c r="Q27" s="491"/>
      <c r="R27" s="217"/>
      <c r="S27" s="218"/>
      <c r="T27" s="218"/>
      <c r="U27" s="219"/>
      <c r="V27" s="491"/>
      <c r="W27" s="491"/>
      <c r="X27" s="491"/>
      <c r="Y27" s="491"/>
      <c r="Z27" s="491"/>
      <c r="AA27" s="491"/>
      <c r="AB27" s="491"/>
      <c r="AC27" s="491"/>
      <c r="AD27" s="491"/>
      <c r="AE27" s="491"/>
      <c r="AF27" s="491"/>
      <c r="AG27" s="491"/>
      <c r="AH27" s="193"/>
    </row>
    <row r="28" spans="1:34" ht="15.75" thickBot="1" x14ac:dyDescent="0.3">
      <c r="A28" s="193"/>
      <c r="B28" s="491"/>
      <c r="C28" s="531"/>
      <c r="D28" s="491"/>
      <c r="E28" s="491"/>
      <c r="F28" s="491"/>
      <c r="G28" s="491"/>
      <c r="H28" s="491"/>
      <c r="I28" s="491"/>
      <c r="J28" s="491"/>
      <c r="K28" s="491"/>
      <c r="L28" s="491"/>
      <c r="M28" s="491"/>
      <c r="N28" s="491"/>
      <c r="O28" s="491"/>
      <c r="P28" s="491"/>
      <c r="Q28" s="491"/>
      <c r="R28" s="213"/>
      <c r="S28" s="220"/>
      <c r="T28" s="220"/>
      <c r="U28" s="214"/>
      <c r="V28" s="491"/>
      <c r="W28" s="491"/>
      <c r="X28" s="491"/>
      <c r="Y28" s="491"/>
      <c r="Z28" s="491"/>
      <c r="AA28" s="491"/>
      <c r="AB28" s="491"/>
      <c r="AC28" s="491"/>
      <c r="AD28" s="491"/>
      <c r="AE28" s="491"/>
      <c r="AF28" s="491"/>
      <c r="AG28" s="491"/>
      <c r="AH28" s="193"/>
    </row>
    <row r="29" spans="1:34" x14ac:dyDescent="0.25">
      <c r="A29" s="193"/>
      <c r="B29" s="492"/>
      <c r="C29" s="532"/>
      <c r="D29" s="492"/>
      <c r="E29" s="492"/>
      <c r="F29" s="492"/>
      <c r="G29" s="492"/>
      <c r="H29" s="492"/>
      <c r="I29" s="492"/>
      <c r="J29" s="492"/>
      <c r="K29" s="492"/>
      <c r="L29" s="492"/>
      <c r="M29" s="492"/>
      <c r="N29" s="492"/>
      <c r="O29" s="492"/>
      <c r="P29" s="492"/>
      <c r="Q29" s="492"/>
      <c r="R29" s="221"/>
      <c r="S29" s="493">
        <f>L25/12</f>
        <v>20.5</v>
      </c>
      <c r="T29" s="493"/>
      <c r="U29" s="222"/>
      <c r="V29" s="492"/>
      <c r="W29" s="492"/>
      <c r="X29" s="492"/>
      <c r="Y29" s="492"/>
      <c r="Z29" s="492"/>
      <c r="AA29" s="492"/>
      <c r="AB29" s="492"/>
      <c r="AC29" s="492"/>
      <c r="AD29" s="492"/>
      <c r="AE29" s="492"/>
      <c r="AF29" s="492"/>
      <c r="AG29" s="492"/>
      <c r="AH29" s="193"/>
    </row>
    <row r="30" spans="1:34" x14ac:dyDescent="0.25">
      <c r="Y30" s="561">
        <f>SUM(Y5:AG29)</f>
        <v>3854.1353200000003</v>
      </c>
      <c r="Z30" s="561"/>
      <c r="AA30" s="561"/>
      <c r="AB30" s="561"/>
      <c r="AC30" s="561"/>
      <c r="AD30" s="561"/>
      <c r="AE30" s="561"/>
      <c r="AF30" s="561"/>
      <c r="AG30" s="561"/>
    </row>
  </sheetData>
  <mergeCells count="174">
    <mergeCell ref="Y30:AG30"/>
    <mergeCell ref="Y2:AF2"/>
    <mergeCell ref="AG2:AG4"/>
    <mergeCell ref="K3:K4"/>
    <mergeCell ref="L3:L4"/>
    <mergeCell ref="M3:M4"/>
    <mergeCell ref="N3:N4"/>
    <mergeCell ref="O3:O4"/>
    <mergeCell ref="P3:P4"/>
    <mergeCell ref="W2:W4"/>
    <mergeCell ref="X2:X4"/>
    <mergeCell ref="AE10:AE14"/>
    <mergeCell ref="AF10:AF14"/>
    <mergeCell ref="AG10:AG14"/>
    <mergeCell ref="S14:T14"/>
    <mergeCell ref="W10:W14"/>
    <mergeCell ref="X10:X14"/>
    <mergeCell ref="Y10:Y14"/>
    <mergeCell ref="Z10:Z14"/>
    <mergeCell ref="AA10:AA14"/>
    <mergeCell ref="AB10:AB14"/>
    <mergeCell ref="S10:T10"/>
    <mergeCell ref="V10:V14"/>
    <mergeCell ref="M15:M19"/>
    <mergeCell ref="B5:B9"/>
    <mergeCell ref="C5:C9"/>
    <mergeCell ref="D5:D9"/>
    <mergeCell ref="E5:E9"/>
    <mergeCell ref="F5:F9"/>
    <mergeCell ref="G5:G9"/>
    <mergeCell ref="B2:B4"/>
    <mergeCell ref="C2:C4"/>
    <mergeCell ref="D2:D4"/>
    <mergeCell ref="E2:E4"/>
    <mergeCell ref="F2:F4"/>
    <mergeCell ref="G2:G4"/>
    <mergeCell ref="H5:H9"/>
    <mergeCell ref="I5:I9"/>
    <mergeCell ref="J5:J9"/>
    <mergeCell ref="K5:K9"/>
    <mergeCell ref="L5:L9"/>
    <mergeCell ref="AC5:AC9"/>
    <mergeCell ref="AD5:AD9"/>
    <mergeCell ref="H2:H4"/>
    <mergeCell ref="I2:I4"/>
    <mergeCell ref="J2:J4"/>
    <mergeCell ref="K2:Q2"/>
    <mergeCell ref="R2:U4"/>
    <mergeCell ref="V2:V4"/>
    <mergeCell ref="Q3:Q4"/>
    <mergeCell ref="M5:M9"/>
    <mergeCell ref="N5:N9"/>
    <mergeCell ref="O5:O9"/>
    <mergeCell ref="P5:P9"/>
    <mergeCell ref="Q5:Q9"/>
    <mergeCell ref="AE5:AE9"/>
    <mergeCell ref="AF5:AF9"/>
    <mergeCell ref="AG5:AG9"/>
    <mergeCell ref="S9:T9"/>
    <mergeCell ref="W5:W9"/>
    <mergeCell ref="X5:X9"/>
    <mergeCell ref="Y5:Y9"/>
    <mergeCell ref="Z5:Z9"/>
    <mergeCell ref="AA5:AA9"/>
    <mergeCell ref="AB5:AB9"/>
    <mergeCell ref="S5:T5"/>
    <mergeCell ref="V5:V9"/>
    <mergeCell ref="B15:B19"/>
    <mergeCell ref="C15:C19"/>
    <mergeCell ref="D15:D19"/>
    <mergeCell ref="E15:E19"/>
    <mergeCell ref="F15:F19"/>
    <mergeCell ref="G15:G19"/>
    <mergeCell ref="AC10:AC14"/>
    <mergeCell ref="AD10:AD14"/>
    <mergeCell ref="N10:N14"/>
    <mergeCell ref="O10:O14"/>
    <mergeCell ref="P10:P14"/>
    <mergeCell ref="Q10:Q14"/>
    <mergeCell ref="H10:H14"/>
    <mergeCell ref="I10:I14"/>
    <mergeCell ref="J10:J14"/>
    <mergeCell ref="K10:K14"/>
    <mergeCell ref="L10:L14"/>
    <mergeCell ref="M10:M14"/>
    <mergeCell ref="B10:B14"/>
    <mergeCell ref="C10:C14"/>
    <mergeCell ref="D10:D14"/>
    <mergeCell ref="E10:E14"/>
    <mergeCell ref="F10:F14"/>
    <mergeCell ref="G10:G14"/>
    <mergeCell ref="G20:G24"/>
    <mergeCell ref="AC15:AC19"/>
    <mergeCell ref="AD15:AD19"/>
    <mergeCell ref="AE15:AE19"/>
    <mergeCell ref="AF15:AF19"/>
    <mergeCell ref="AG15:AG19"/>
    <mergeCell ref="S19:T19"/>
    <mergeCell ref="W15:W19"/>
    <mergeCell ref="X15:X19"/>
    <mergeCell ref="Y15:Y19"/>
    <mergeCell ref="Z15:Z19"/>
    <mergeCell ref="AA15:AA19"/>
    <mergeCell ref="AB15:AB19"/>
    <mergeCell ref="N15:N19"/>
    <mergeCell ref="O15:O19"/>
    <mergeCell ref="P15:P19"/>
    <mergeCell ref="Q15:Q19"/>
    <mergeCell ref="S15:T15"/>
    <mergeCell ref="V15:V19"/>
    <mergeCell ref="H15:H19"/>
    <mergeCell ref="I15:I19"/>
    <mergeCell ref="J15:J19"/>
    <mergeCell ref="K15:K19"/>
    <mergeCell ref="L15:L19"/>
    <mergeCell ref="AF20:AF24"/>
    <mergeCell ref="AG20:AG24"/>
    <mergeCell ref="S24:T24"/>
    <mergeCell ref="W20:W24"/>
    <mergeCell ref="X20:X24"/>
    <mergeCell ref="Y20:Y24"/>
    <mergeCell ref="Z20:Z24"/>
    <mergeCell ref="AA20:AA24"/>
    <mergeCell ref="AB20:AB24"/>
    <mergeCell ref="S20:T20"/>
    <mergeCell ref="V20:V24"/>
    <mergeCell ref="B25:B29"/>
    <mergeCell ref="C25:C29"/>
    <mergeCell ref="D25:D29"/>
    <mergeCell ref="E25:E29"/>
    <mergeCell ref="F25:F29"/>
    <mergeCell ref="G25:G29"/>
    <mergeCell ref="AC20:AC24"/>
    <mergeCell ref="AD20:AD24"/>
    <mergeCell ref="AE20:AE24"/>
    <mergeCell ref="N20:N24"/>
    <mergeCell ref="O20:O24"/>
    <mergeCell ref="P20:P24"/>
    <mergeCell ref="Q20:Q24"/>
    <mergeCell ref="H20:H24"/>
    <mergeCell ref="I20:I24"/>
    <mergeCell ref="J20:J24"/>
    <mergeCell ref="K20:K24"/>
    <mergeCell ref="L20:L24"/>
    <mergeCell ref="M20:M24"/>
    <mergeCell ref="B20:B24"/>
    <mergeCell ref="C20:C24"/>
    <mergeCell ref="D20:D24"/>
    <mergeCell ref="E20:E24"/>
    <mergeCell ref="F20:F24"/>
    <mergeCell ref="N25:N29"/>
    <mergeCell ref="O25:O29"/>
    <mergeCell ref="P25:P29"/>
    <mergeCell ref="Q25:Q29"/>
    <mergeCell ref="S25:T25"/>
    <mergeCell ref="V25:V29"/>
    <mergeCell ref="H25:H29"/>
    <mergeCell ref="I25:I29"/>
    <mergeCell ref="J25:J29"/>
    <mergeCell ref="K25:K29"/>
    <mergeCell ref="L25:L29"/>
    <mergeCell ref="M25:M29"/>
    <mergeCell ref="AC25:AC29"/>
    <mergeCell ref="AD25:AD29"/>
    <mergeCell ref="AE25:AE29"/>
    <mergeCell ref="AF25:AF29"/>
    <mergeCell ref="AG25:AG29"/>
    <mergeCell ref="S29:T29"/>
    <mergeCell ref="W25:W29"/>
    <mergeCell ref="X25:X29"/>
    <mergeCell ref="Y25:Y29"/>
    <mergeCell ref="Z25:Z29"/>
    <mergeCell ref="AA25:AA29"/>
    <mergeCell ref="AB25:AB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931BB-DE81-455A-9975-74AE1F8CAE89}">
  <dimension ref="A1"/>
  <sheetViews>
    <sheetView zoomScale="40" zoomScaleNormal="40" workbookViewId="0">
      <selection activeCell="H18" sqref="H18"/>
    </sheetView>
  </sheetViews>
  <sheetFormatPr defaultRowHeight="15" x14ac:dyDescent="0.2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4F63A-05D4-4121-AEC0-563EC5D730A6}">
  <dimension ref="A2:J29"/>
  <sheetViews>
    <sheetView zoomScale="70" zoomScaleNormal="70" workbookViewId="0">
      <selection activeCell="A13" sqref="A13:XFD13"/>
    </sheetView>
  </sheetViews>
  <sheetFormatPr defaultRowHeight="15" x14ac:dyDescent="0.25"/>
  <cols>
    <col min="1" max="1" width="17.85546875" customWidth="1"/>
    <col min="2" max="2" width="17.5703125" bestFit="1" customWidth="1"/>
    <col min="3" max="3" width="11.85546875" customWidth="1"/>
    <col min="4" max="4" width="10.5703125" customWidth="1"/>
    <col min="7" max="7" width="18.5703125" customWidth="1"/>
    <col min="8" max="9" width="13.5703125" customWidth="1"/>
    <col min="10" max="10" width="14" bestFit="1" customWidth="1"/>
  </cols>
  <sheetData>
    <row r="2" spans="1:10" x14ac:dyDescent="0.25">
      <c r="A2" s="97" t="s">
        <v>112</v>
      </c>
      <c r="B2" s="98" t="s">
        <v>113</v>
      </c>
    </row>
    <row r="3" spans="1:10" x14ac:dyDescent="0.25">
      <c r="A3" s="97" t="s">
        <v>114</v>
      </c>
      <c r="B3" s="98" t="s">
        <v>125</v>
      </c>
    </row>
    <row r="5" spans="1:10" s="100" customFormat="1" ht="15.75" x14ac:dyDescent="0.25">
      <c r="A5" s="99"/>
      <c r="B5" s="99"/>
      <c r="C5" s="99"/>
      <c r="D5" s="99"/>
      <c r="E5" s="99"/>
      <c r="F5" s="99"/>
      <c r="G5" s="562"/>
      <c r="H5" s="562"/>
      <c r="I5" s="562"/>
      <c r="J5" s="562"/>
    </row>
    <row r="6" spans="1:10" s="103" customFormat="1" ht="20.25" customHeight="1" x14ac:dyDescent="0.25">
      <c r="A6" s="101"/>
      <c r="B6" s="101"/>
      <c r="C6" s="101"/>
      <c r="D6" s="101"/>
      <c r="E6" s="101"/>
      <c r="F6" s="101"/>
      <c r="G6" s="102">
        <f>+SUM(G8:G20)</f>
        <v>579</v>
      </c>
      <c r="H6" s="102"/>
      <c r="I6" s="102">
        <f>SUM(I8:I20)/27</f>
        <v>107.81080246913579</v>
      </c>
      <c r="J6" s="102">
        <f>(SUM(J8:J20)*1.2)/27</f>
        <v>129.61595555555556</v>
      </c>
    </row>
    <row r="7" spans="1:10" s="107" customFormat="1" ht="38.25" x14ac:dyDescent="0.25">
      <c r="A7" s="104" t="s">
        <v>181</v>
      </c>
      <c r="B7" s="104" t="s">
        <v>18</v>
      </c>
      <c r="C7" s="104" t="s">
        <v>115</v>
      </c>
      <c r="D7" s="104" t="s">
        <v>116</v>
      </c>
      <c r="E7" s="104" t="s">
        <v>117</v>
      </c>
      <c r="F7" s="104" t="s">
        <v>118</v>
      </c>
      <c r="G7" s="105" t="s">
        <v>179</v>
      </c>
      <c r="H7" s="105" t="s">
        <v>121</v>
      </c>
      <c r="I7" s="106" t="s">
        <v>119</v>
      </c>
      <c r="J7" s="106" t="s">
        <v>120</v>
      </c>
    </row>
    <row r="8" spans="1:10" x14ac:dyDescent="0.25">
      <c r="A8" s="108">
        <v>1</v>
      </c>
      <c r="B8" s="101" t="s">
        <v>126</v>
      </c>
      <c r="C8" s="101">
        <v>6.94</v>
      </c>
      <c r="D8" s="101">
        <v>2.83</v>
      </c>
      <c r="E8" s="109">
        <v>7</v>
      </c>
      <c r="F8" s="110">
        <f t="shared" ref="F8:F13" si="0">E8-D8</f>
        <v>4.17</v>
      </c>
      <c r="G8" s="111">
        <v>48</v>
      </c>
      <c r="H8" s="92">
        <v>1.5</v>
      </c>
      <c r="I8" s="113">
        <f t="shared" ref="I8:I13" si="1">F8*G8*H8</f>
        <v>300.24</v>
      </c>
      <c r="J8" s="112">
        <f t="shared" ref="J8:J13" si="2">I8</f>
        <v>300.24</v>
      </c>
    </row>
    <row r="9" spans="1:10" x14ac:dyDescent="0.25">
      <c r="A9" s="108"/>
      <c r="B9" s="101" t="s">
        <v>126</v>
      </c>
      <c r="C9" s="101">
        <v>6.94</v>
      </c>
      <c r="D9" s="101">
        <v>2.83</v>
      </c>
      <c r="E9" s="109">
        <v>7</v>
      </c>
      <c r="F9" s="110">
        <f t="shared" si="0"/>
        <v>4.17</v>
      </c>
      <c r="G9" s="111">
        <v>48</v>
      </c>
      <c r="H9" s="92">
        <v>1.5</v>
      </c>
      <c r="I9" s="113">
        <f t="shared" si="1"/>
        <v>300.24</v>
      </c>
      <c r="J9" s="112">
        <f t="shared" si="2"/>
        <v>300.24</v>
      </c>
    </row>
    <row r="10" spans="1:10" x14ac:dyDescent="0.25">
      <c r="A10" s="108"/>
      <c r="B10" s="101" t="s">
        <v>126</v>
      </c>
      <c r="C10" s="101">
        <v>6.94</v>
      </c>
      <c r="D10" s="101">
        <v>2.83</v>
      </c>
      <c r="E10" s="109">
        <v>7</v>
      </c>
      <c r="F10" s="110">
        <f t="shared" si="0"/>
        <v>4.17</v>
      </c>
      <c r="G10" s="111">
        <v>50</v>
      </c>
      <c r="H10" s="92">
        <v>1.5</v>
      </c>
      <c r="I10" s="113">
        <f t="shared" si="1"/>
        <v>312.75</v>
      </c>
      <c r="J10" s="112">
        <f t="shared" si="2"/>
        <v>312.75</v>
      </c>
    </row>
    <row r="11" spans="1:10" x14ac:dyDescent="0.25">
      <c r="A11" s="108"/>
      <c r="B11" s="101" t="s">
        <v>126</v>
      </c>
      <c r="C11" s="101">
        <v>6.94</v>
      </c>
      <c r="D11" s="101">
        <v>2.83</v>
      </c>
      <c r="E11" s="109">
        <v>7</v>
      </c>
      <c r="F11" s="110">
        <f t="shared" si="0"/>
        <v>4.17</v>
      </c>
      <c r="G11" s="111">
        <v>47</v>
      </c>
      <c r="H11" s="92">
        <v>1.5</v>
      </c>
      <c r="I11" s="113">
        <f t="shared" si="1"/>
        <v>293.98500000000001</v>
      </c>
      <c r="J11" s="112">
        <f t="shared" si="2"/>
        <v>293.98500000000001</v>
      </c>
    </row>
    <row r="12" spans="1:10" x14ac:dyDescent="0.25">
      <c r="A12" s="108"/>
      <c r="B12" s="101" t="s">
        <v>126</v>
      </c>
      <c r="C12" s="101">
        <v>6.94</v>
      </c>
      <c r="D12" s="101">
        <v>2.83</v>
      </c>
      <c r="E12" s="109">
        <v>7</v>
      </c>
      <c r="F12" s="110">
        <f t="shared" si="0"/>
        <v>4.17</v>
      </c>
      <c r="G12" s="111">
        <v>75</v>
      </c>
      <c r="H12" s="92">
        <v>1.5</v>
      </c>
      <c r="I12" s="113">
        <f t="shared" si="1"/>
        <v>469.125</v>
      </c>
      <c r="J12" s="112">
        <f t="shared" si="2"/>
        <v>469.125</v>
      </c>
    </row>
    <row r="13" spans="1:10" x14ac:dyDescent="0.25">
      <c r="A13" s="108"/>
      <c r="B13" s="101" t="s">
        <v>126</v>
      </c>
      <c r="C13" s="101">
        <v>6.94</v>
      </c>
      <c r="D13" s="101">
        <v>2.83</v>
      </c>
      <c r="E13" s="109">
        <v>7</v>
      </c>
      <c r="F13" s="110">
        <f t="shared" si="0"/>
        <v>4.17</v>
      </c>
      <c r="G13" s="111">
        <v>75</v>
      </c>
      <c r="H13" s="92">
        <v>1.5</v>
      </c>
      <c r="I13" s="113">
        <f t="shared" si="1"/>
        <v>469.125</v>
      </c>
      <c r="J13" s="112">
        <f t="shared" si="2"/>
        <v>469.125</v>
      </c>
    </row>
    <row r="14" spans="1:10" x14ac:dyDescent="0.25">
      <c r="A14" s="108"/>
      <c r="B14" s="101"/>
      <c r="C14" s="101"/>
      <c r="D14" s="101"/>
      <c r="E14" s="109"/>
      <c r="F14" s="110"/>
      <c r="G14" s="111"/>
      <c r="H14" s="92"/>
      <c r="I14" s="113"/>
      <c r="J14" s="112"/>
    </row>
    <row r="15" spans="1:10" x14ac:dyDescent="0.25">
      <c r="A15" s="108"/>
      <c r="B15" s="101"/>
      <c r="C15" s="101"/>
      <c r="D15" s="101"/>
      <c r="E15" s="109"/>
      <c r="F15" s="110"/>
      <c r="G15" s="102">
        <f>+SUM(G16:G20)</f>
        <v>118</v>
      </c>
      <c r="H15" s="102"/>
      <c r="I15" s="102">
        <f>SUM(I16:I20)/27</f>
        <v>27.336666666666662</v>
      </c>
      <c r="J15" s="102">
        <f>(SUM(J16:J20)*1.2)/27</f>
        <v>32.803999999999995</v>
      </c>
    </row>
    <row r="16" spans="1:10" x14ac:dyDescent="0.25">
      <c r="A16" s="108">
        <v>2</v>
      </c>
      <c r="B16" s="101" t="s">
        <v>128</v>
      </c>
      <c r="C16" s="101">
        <v>6.94</v>
      </c>
      <c r="D16" s="101">
        <v>2.83</v>
      </c>
      <c r="E16" s="109">
        <v>7</v>
      </c>
      <c r="F16" s="110">
        <f>E16-D16</f>
        <v>4.17</v>
      </c>
      <c r="G16" s="111">
        <v>44</v>
      </c>
      <c r="H16" s="92">
        <v>1.5</v>
      </c>
      <c r="I16" s="113">
        <f>F16*G16*H16</f>
        <v>275.21999999999997</v>
      </c>
      <c r="J16" s="112">
        <f>I16</f>
        <v>275.21999999999997</v>
      </c>
    </row>
    <row r="17" spans="1:10" x14ac:dyDescent="0.25">
      <c r="A17" s="108"/>
      <c r="B17" s="101" t="s">
        <v>128</v>
      </c>
      <c r="C17" s="101">
        <v>6.94</v>
      </c>
      <c r="D17" s="101">
        <v>2.83</v>
      </c>
      <c r="E17" s="109">
        <v>7</v>
      </c>
      <c r="F17" s="110">
        <f>E17-D17</f>
        <v>4.17</v>
      </c>
      <c r="G17" s="111">
        <v>30</v>
      </c>
      <c r="H17" s="92">
        <v>1.5</v>
      </c>
      <c r="I17" s="113">
        <f>F17*G17*H17</f>
        <v>187.64999999999998</v>
      </c>
      <c r="J17" s="112">
        <f>I17</f>
        <v>187.64999999999998</v>
      </c>
    </row>
    <row r="18" spans="1:10" x14ac:dyDescent="0.25">
      <c r="A18" s="108"/>
      <c r="B18" s="101" t="s">
        <v>128</v>
      </c>
      <c r="C18" s="101">
        <v>6.94</v>
      </c>
      <c r="D18" s="101">
        <v>2.83</v>
      </c>
      <c r="E18" s="109">
        <v>7</v>
      </c>
      <c r="F18" s="110">
        <f>E18-D18</f>
        <v>4.17</v>
      </c>
      <c r="G18" s="111">
        <v>12</v>
      </c>
      <c r="H18" s="92">
        <v>1.5</v>
      </c>
      <c r="I18" s="113">
        <f>F18*G18*H18</f>
        <v>75.06</v>
      </c>
      <c r="J18" s="112">
        <f>I18</f>
        <v>75.06</v>
      </c>
    </row>
    <row r="19" spans="1:10" x14ac:dyDescent="0.25">
      <c r="A19" s="108"/>
      <c r="B19" s="101" t="s">
        <v>128</v>
      </c>
      <c r="C19" s="101">
        <v>6.94</v>
      </c>
      <c r="D19" s="101">
        <v>2.83</v>
      </c>
      <c r="E19" s="109">
        <v>7</v>
      </c>
      <c r="F19" s="110">
        <f>E19-D19</f>
        <v>4.17</v>
      </c>
      <c r="G19" s="111">
        <v>32</v>
      </c>
      <c r="H19" s="92">
        <v>1.5</v>
      </c>
      <c r="I19" s="113">
        <f>F19*G19*H19</f>
        <v>200.16</v>
      </c>
      <c r="J19" s="112">
        <f>I19</f>
        <v>200.16</v>
      </c>
    </row>
    <row r="20" spans="1:10" x14ac:dyDescent="0.25">
      <c r="A20" s="108"/>
      <c r="B20" s="101"/>
      <c r="C20" s="101"/>
      <c r="D20" s="101"/>
      <c r="E20" s="109"/>
      <c r="F20" s="110"/>
      <c r="G20" s="111"/>
      <c r="H20" s="92"/>
      <c r="I20" s="113"/>
      <c r="J20" s="112"/>
    </row>
    <row r="22" spans="1:10" x14ac:dyDescent="0.25">
      <c r="A22" s="563" t="s">
        <v>123</v>
      </c>
      <c r="B22" s="563"/>
      <c r="C22" s="563"/>
    </row>
    <row r="23" spans="1:10" x14ac:dyDescent="0.25">
      <c r="A23" s="115" t="s">
        <v>126</v>
      </c>
      <c r="B23" s="116" t="s">
        <v>30</v>
      </c>
      <c r="C23" s="9">
        <f>G6</f>
        <v>579</v>
      </c>
    </row>
    <row r="24" spans="1:10" x14ac:dyDescent="0.25">
      <c r="A24" s="101" t="s">
        <v>128</v>
      </c>
      <c r="B24" s="116" t="s">
        <v>30</v>
      </c>
      <c r="C24" s="9">
        <f>G15</f>
        <v>118</v>
      </c>
    </row>
    <row r="25" spans="1:10" ht="30" hidden="1" x14ac:dyDescent="0.25">
      <c r="A25" s="115" t="s">
        <v>32</v>
      </c>
      <c r="B25" s="116" t="s">
        <v>19</v>
      </c>
      <c r="C25" s="9">
        <v>136</v>
      </c>
      <c r="D25" s="117">
        <v>-1.66</v>
      </c>
      <c r="E25" s="109">
        <v>7.65</v>
      </c>
    </row>
    <row r="26" spans="1:10" hidden="1" x14ac:dyDescent="0.25">
      <c r="A26" s="92"/>
      <c r="B26" s="92" t="s">
        <v>124</v>
      </c>
      <c r="C26" s="108">
        <v>6.94</v>
      </c>
      <c r="D26" s="117">
        <v>-1.23</v>
      </c>
      <c r="E26" s="109">
        <v>7.19</v>
      </c>
    </row>
    <row r="27" spans="1:10" x14ac:dyDescent="0.25">
      <c r="A27" s="92"/>
      <c r="B27" s="92"/>
      <c r="C27" s="92"/>
    </row>
    <row r="28" spans="1:10" x14ac:dyDescent="0.25">
      <c r="A28" s="115"/>
      <c r="B28" s="116"/>
      <c r="C28" s="9"/>
    </row>
    <row r="29" spans="1:10" x14ac:dyDescent="0.25">
      <c r="A29" s="115"/>
      <c r="B29" s="116"/>
      <c r="C29" s="9"/>
    </row>
  </sheetData>
  <mergeCells count="2">
    <mergeCell ref="G5:J5"/>
    <mergeCell ref="A22:C22"/>
  </mergeCells>
  <conditionalFormatting sqref="F8:F20">
    <cfRule type="cellIs" dxfId="4" priority="1" operator="between">
      <formula>0</formula>
      <formula>6</formula>
    </cfRule>
    <cfRule type="cellIs" dxfId="3" priority="2" operator="between">
      <formula>6</formula>
      <formula>8</formula>
    </cfRule>
    <cfRule type="cellIs" dxfId="2" priority="3" operator="between">
      <formula>8</formula>
      <formula>10</formula>
    </cfRule>
    <cfRule type="cellIs" dxfId="1" priority="4" operator="between">
      <formula>10</formula>
      <formula>12</formula>
    </cfRule>
    <cfRule type="cellIs" dxfId="0" priority="5" operator="between">
      <formula>12</formula>
      <formula>14</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A04BB-E412-4A8A-9030-4BDBF7A0A021}">
  <dimension ref="A2:O49"/>
  <sheetViews>
    <sheetView topLeftCell="A28" zoomScale="70" zoomScaleNormal="70" workbookViewId="0">
      <selection activeCell="G40" sqref="G40"/>
    </sheetView>
  </sheetViews>
  <sheetFormatPr defaultRowHeight="15" x14ac:dyDescent="0.25"/>
  <cols>
    <col min="2" max="2" width="15.140625" customWidth="1"/>
    <col min="3" max="3" width="9.42578125" bestFit="1" customWidth="1"/>
    <col min="4" max="4" width="13.28515625" bestFit="1" customWidth="1"/>
    <col min="5" max="5" width="12" bestFit="1" customWidth="1"/>
    <col min="7" max="7" width="12.42578125" customWidth="1"/>
    <col min="8" max="8" width="14.42578125" customWidth="1"/>
    <col min="9" max="9" width="14.42578125" style="85" customWidth="1"/>
  </cols>
  <sheetData>
    <row r="2" spans="1:10" ht="15.75" x14ac:dyDescent="0.25">
      <c r="D2" s="136">
        <f>SUM(D6:D16)</f>
        <v>391.5</v>
      </c>
      <c r="E2" s="136"/>
      <c r="F2" s="136"/>
      <c r="G2" s="135">
        <f>SUM(G4:G16)/27</f>
        <v>507.5</v>
      </c>
      <c r="H2" s="135">
        <f>G2*1.2</f>
        <v>609</v>
      </c>
      <c r="I2" s="136">
        <f>SUM(I6:I16)</f>
        <v>132</v>
      </c>
      <c r="J2" s="136"/>
    </row>
    <row r="3" spans="1:10" s="88" customFormat="1" ht="48.95" customHeight="1" x14ac:dyDescent="0.25">
      <c r="A3" s="87" t="s">
        <v>97</v>
      </c>
      <c r="B3" s="87" t="s">
        <v>98</v>
      </c>
      <c r="C3" s="87" t="s">
        <v>27</v>
      </c>
      <c r="D3" s="87" t="s">
        <v>104</v>
      </c>
      <c r="E3" s="87" t="s">
        <v>103</v>
      </c>
      <c r="F3" s="87" t="s">
        <v>99</v>
      </c>
      <c r="G3" s="87" t="s">
        <v>100</v>
      </c>
      <c r="H3" s="87" t="s">
        <v>101</v>
      </c>
      <c r="I3" s="87" t="s">
        <v>129</v>
      </c>
    </row>
    <row r="4" spans="1:10" s="89" customFormat="1" ht="15.75" x14ac:dyDescent="0.25">
      <c r="A4" s="90"/>
      <c r="B4" s="90" t="s">
        <v>102</v>
      </c>
      <c r="C4" s="90"/>
      <c r="D4" s="90"/>
      <c r="E4" s="90"/>
      <c r="F4" s="93"/>
      <c r="G4" s="93"/>
      <c r="H4" s="93"/>
      <c r="I4" s="118"/>
    </row>
    <row r="5" spans="1:10" s="89" customFormat="1" ht="15.75" x14ac:dyDescent="0.25">
      <c r="A5" s="90"/>
      <c r="B5" s="91" t="s">
        <v>105</v>
      </c>
      <c r="C5" s="90"/>
      <c r="D5" s="90"/>
      <c r="E5" s="90"/>
      <c r="F5" s="93"/>
      <c r="G5" s="93"/>
      <c r="H5" s="93"/>
      <c r="I5" s="118"/>
    </row>
    <row r="6" spans="1:10" x14ac:dyDescent="0.25">
      <c r="A6" s="90"/>
      <c r="B6" s="90"/>
      <c r="C6" s="90">
        <v>1</v>
      </c>
      <c r="D6" s="90">
        <v>31.25</v>
      </c>
      <c r="E6" s="90">
        <v>7</v>
      </c>
      <c r="F6" s="90">
        <f>3+1+1</f>
        <v>5</v>
      </c>
      <c r="G6" s="92">
        <f t="shared" ref="G6:G12" si="0">D6*E6*F6</f>
        <v>1093.75</v>
      </c>
      <c r="H6" s="92">
        <f>G6</f>
        <v>1093.75</v>
      </c>
      <c r="I6" s="118">
        <v>12</v>
      </c>
    </row>
    <row r="7" spans="1:10" x14ac:dyDescent="0.25">
      <c r="A7" s="90"/>
      <c r="B7" s="90"/>
      <c r="C7" s="90">
        <v>1</v>
      </c>
      <c r="D7" s="90">
        <v>47.25</v>
      </c>
      <c r="E7" s="90">
        <v>7</v>
      </c>
      <c r="F7" s="90">
        <f>3+1+1</f>
        <v>5</v>
      </c>
      <c r="G7" s="92">
        <f t="shared" si="0"/>
        <v>1653.75</v>
      </c>
      <c r="H7" s="92">
        <f>G7</f>
        <v>1653.75</v>
      </c>
      <c r="I7" s="118">
        <v>12</v>
      </c>
    </row>
    <row r="8" spans="1:10" x14ac:dyDescent="0.25">
      <c r="A8" s="90"/>
      <c r="B8" s="90"/>
      <c r="C8" s="90">
        <v>1</v>
      </c>
      <c r="D8" s="90">
        <v>31.25</v>
      </c>
      <c r="E8" s="90">
        <v>7</v>
      </c>
      <c r="F8" s="90">
        <f>3+1+1</f>
        <v>5</v>
      </c>
      <c r="G8" s="92">
        <f t="shared" si="0"/>
        <v>1093.75</v>
      </c>
      <c r="H8" s="92">
        <f>G8</f>
        <v>1093.75</v>
      </c>
      <c r="I8" s="118">
        <v>12</v>
      </c>
    </row>
    <row r="9" spans="1:10" x14ac:dyDescent="0.25">
      <c r="A9" s="90"/>
      <c r="B9" s="90"/>
      <c r="C9" s="90">
        <v>1</v>
      </c>
      <c r="D9" s="90">
        <v>44.25</v>
      </c>
      <c r="E9" s="90">
        <v>7</v>
      </c>
      <c r="F9" s="90">
        <f>3+1+1</f>
        <v>5</v>
      </c>
      <c r="G9" s="92">
        <f t="shared" si="0"/>
        <v>1548.75</v>
      </c>
      <c r="H9" s="92">
        <f>G9</f>
        <v>1548.75</v>
      </c>
      <c r="I9" s="118">
        <v>12</v>
      </c>
    </row>
    <row r="10" spans="1:10" x14ac:dyDescent="0.25">
      <c r="A10" s="90"/>
      <c r="B10" s="91" t="s">
        <v>106</v>
      </c>
      <c r="C10" s="90">
        <v>1</v>
      </c>
      <c r="D10" s="90">
        <v>37.25</v>
      </c>
      <c r="E10" s="90">
        <v>7</v>
      </c>
      <c r="F10" s="90">
        <f>3+2</f>
        <v>5</v>
      </c>
      <c r="G10" s="92">
        <f t="shared" si="0"/>
        <v>1303.75</v>
      </c>
      <c r="H10" s="92">
        <f>E10*F10*G10</f>
        <v>45631.25</v>
      </c>
      <c r="I10" s="118">
        <v>12</v>
      </c>
    </row>
    <row r="11" spans="1:10" x14ac:dyDescent="0.25">
      <c r="A11" s="90"/>
      <c r="B11" s="90"/>
      <c r="C11" s="90">
        <v>1</v>
      </c>
      <c r="D11" s="90">
        <v>36.25</v>
      </c>
      <c r="E11" s="90">
        <v>7</v>
      </c>
      <c r="F11" s="90">
        <f t="shared" ref="F11:F16" si="1">3+2</f>
        <v>5</v>
      </c>
      <c r="G11" s="92">
        <f t="shared" si="0"/>
        <v>1268.75</v>
      </c>
      <c r="H11" s="92">
        <f>E11*F11*G11</f>
        <v>44406.25</v>
      </c>
      <c r="I11" s="118">
        <v>12</v>
      </c>
    </row>
    <row r="12" spans="1:10" x14ac:dyDescent="0.25">
      <c r="A12" s="90"/>
      <c r="B12" s="90"/>
      <c r="C12" s="90">
        <v>1</v>
      </c>
      <c r="D12" s="90">
        <v>36.25</v>
      </c>
      <c r="E12" s="90">
        <v>7</v>
      </c>
      <c r="F12" s="90">
        <f t="shared" si="1"/>
        <v>5</v>
      </c>
      <c r="G12" s="92">
        <f t="shared" si="0"/>
        <v>1268.75</v>
      </c>
      <c r="H12" s="92">
        <f>E12*F12*G12</f>
        <v>44406.25</v>
      </c>
      <c r="I12" s="118">
        <v>12</v>
      </c>
    </row>
    <row r="13" spans="1:10" x14ac:dyDescent="0.25">
      <c r="A13" s="90"/>
      <c r="B13" s="90"/>
      <c r="C13" s="90">
        <v>1</v>
      </c>
      <c r="D13" s="90">
        <v>37.25</v>
      </c>
      <c r="E13" s="90">
        <v>7</v>
      </c>
      <c r="F13" s="90">
        <f t="shared" si="1"/>
        <v>5</v>
      </c>
      <c r="G13" s="92">
        <f t="shared" ref="G13:H15" si="2">D13*E13*F13</f>
        <v>1303.75</v>
      </c>
      <c r="H13" s="92">
        <f t="shared" si="2"/>
        <v>45631.25</v>
      </c>
      <c r="I13" s="118">
        <v>12</v>
      </c>
    </row>
    <row r="14" spans="1:10" x14ac:dyDescent="0.25">
      <c r="A14" s="90"/>
      <c r="B14" s="91" t="s">
        <v>109</v>
      </c>
      <c r="C14" s="90">
        <v>1</v>
      </c>
      <c r="D14" s="90">
        <v>26.25</v>
      </c>
      <c r="E14" s="90">
        <v>7</v>
      </c>
      <c r="F14" s="90">
        <f>3+2</f>
        <v>5</v>
      </c>
      <c r="G14" s="92">
        <f t="shared" si="2"/>
        <v>918.75</v>
      </c>
      <c r="H14" s="92">
        <f t="shared" si="2"/>
        <v>32156.25</v>
      </c>
      <c r="I14" s="118">
        <v>12</v>
      </c>
    </row>
    <row r="15" spans="1:10" x14ac:dyDescent="0.25">
      <c r="A15" s="90"/>
      <c r="B15" s="90"/>
      <c r="C15" s="90">
        <v>1</v>
      </c>
      <c r="D15" s="90">
        <v>30</v>
      </c>
      <c r="E15" s="90">
        <v>7</v>
      </c>
      <c r="F15" s="90">
        <f t="shared" si="1"/>
        <v>5</v>
      </c>
      <c r="G15" s="92">
        <f t="shared" si="2"/>
        <v>1050</v>
      </c>
      <c r="H15" s="92">
        <f t="shared" si="2"/>
        <v>36750</v>
      </c>
      <c r="I15" s="118">
        <v>12</v>
      </c>
    </row>
    <row r="16" spans="1:10" x14ac:dyDescent="0.25">
      <c r="A16" s="90"/>
      <c r="B16" s="90"/>
      <c r="C16" s="90">
        <v>1</v>
      </c>
      <c r="D16" s="90">
        <v>34.25</v>
      </c>
      <c r="E16" s="90">
        <v>7</v>
      </c>
      <c r="F16" s="90">
        <f t="shared" si="1"/>
        <v>5</v>
      </c>
      <c r="G16" s="92">
        <f>D16*E16*F16</f>
        <v>1198.75</v>
      </c>
      <c r="H16" s="92">
        <f>E16*F16*G16</f>
        <v>41956.25</v>
      </c>
      <c r="I16" s="118">
        <v>12</v>
      </c>
    </row>
    <row r="17" spans="1:15" x14ac:dyDescent="0.25">
      <c r="E17" s="96"/>
      <c r="F17" s="96"/>
      <c r="I17"/>
    </row>
    <row r="18" spans="1:15" ht="15.75" x14ac:dyDescent="0.25">
      <c r="A18" s="125" t="s">
        <v>97</v>
      </c>
      <c r="B18" s="126" t="s">
        <v>98</v>
      </c>
      <c r="C18" s="126" t="s">
        <v>27</v>
      </c>
      <c r="D18" s="126" t="s">
        <v>158</v>
      </c>
      <c r="E18" s="126" t="s">
        <v>134</v>
      </c>
      <c r="F18" s="87" t="s">
        <v>135</v>
      </c>
      <c r="G18" s="87" t="s">
        <v>136</v>
      </c>
      <c r="H18" s="87" t="s">
        <v>159</v>
      </c>
      <c r="I18" s="87" t="s">
        <v>94</v>
      </c>
    </row>
    <row r="19" spans="1:15" x14ac:dyDescent="0.25">
      <c r="A19" s="114" t="s">
        <v>156</v>
      </c>
      <c r="B19" s="92"/>
      <c r="C19" s="92"/>
      <c r="D19" s="92"/>
      <c r="E19" s="90"/>
      <c r="F19" s="90"/>
      <c r="G19" s="92"/>
      <c r="H19" s="92"/>
      <c r="I19" s="92"/>
    </row>
    <row r="20" spans="1:15" x14ac:dyDescent="0.25">
      <c r="A20" s="90"/>
      <c r="B20" s="90" t="s">
        <v>105</v>
      </c>
      <c r="C20" s="90">
        <v>2</v>
      </c>
      <c r="D20" s="90"/>
      <c r="E20" s="90"/>
      <c r="F20" s="90"/>
      <c r="G20" s="92">
        <f>PRODUCT(C20:F20)</f>
        <v>2</v>
      </c>
      <c r="H20" s="92">
        <f>+SUM(G20:G23)</f>
        <v>8</v>
      </c>
      <c r="I20" s="118" t="s">
        <v>27</v>
      </c>
    </row>
    <row r="21" spans="1:15" x14ac:dyDescent="0.25">
      <c r="A21" s="90"/>
      <c r="B21" s="90" t="s">
        <v>106</v>
      </c>
      <c r="C21" s="90">
        <v>4</v>
      </c>
      <c r="D21" s="90"/>
      <c r="E21" s="90"/>
      <c r="F21" s="90"/>
      <c r="G21" s="92">
        <f>PRODUCT(C21:F21)</f>
        <v>4</v>
      </c>
      <c r="H21" s="92"/>
      <c r="I21" s="118"/>
    </row>
    <row r="22" spans="1:15" x14ac:dyDescent="0.25">
      <c r="A22" s="90"/>
      <c r="B22" s="90" t="s">
        <v>109</v>
      </c>
      <c r="C22" s="90">
        <v>1</v>
      </c>
      <c r="D22" s="90"/>
      <c r="E22" s="90"/>
      <c r="F22" s="90"/>
      <c r="G22" s="92">
        <f>PRODUCT(C22:F22)</f>
        <v>1</v>
      </c>
      <c r="H22" s="92"/>
      <c r="I22" s="118"/>
    </row>
    <row r="23" spans="1:15" x14ac:dyDescent="0.25">
      <c r="A23" s="90"/>
      <c r="B23" s="90" t="s">
        <v>157</v>
      </c>
      <c r="C23" s="90">
        <v>1</v>
      </c>
      <c r="D23" s="90"/>
      <c r="E23" s="90"/>
      <c r="F23" s="90"/>
      <c r="G23" s="92">
        <f>PRODUCT(C23:F23)</f>
        <v>1</v>
      </c>
      <c r="H23" s="92"/>
      <c r="I23" s="118"/>
    </row>
    <row r="24" spans="1:15" x14ac:dyDescent="0.25">
      <c r="A24" s="96"/>
      <c r="B24" s="96"/>
      <c r="C24" s="96"/>
      <c r="D24" s="96"/>
      <c r="E24" s="96"/>
      <c r="F24" s="96"/>
    </row>
    <row r="25" spans="1:15" x14ac:dyDescent="0.25">
      <c r="A25" s="96"/>
      <c r="B25" s="96"/>
      <c r="C25" s="96"/>
      <c r="D25" s="96"/>
      <c r="E25" s="96"/>
      <c r="F25" s="96"/>
    </row>
    <row r="26" spans="1:15" ht="16.5" customHeight="1" x14ac:dyDescent="0.25">
      <c r="A26" s="564" t="s">
        <v>182</v>
      </c>
      <c r="B26" s="564"/>
      <c r="C26" s="564"/>
      <c r="D26" s="564"/>
      <c r="E26" s="90"/>
      <c r="F26" s="90"/>
      <c r="G26" s="92"/>
      <c r="H26" s="92"/>
      <c r="I26" s="92"/>
      <c r="J26" s="137">
        <f>SUM(J28:J37)</f>
        <v>748</v>
      </c>
      <c r="K26" s="138"/>
      <c r="L26" s="138"/>
      <c r="M26" s="137">
        <f>SUM(M28:M37)/27</f>
        <v>407.24444444444447</v>
      </c>
      <c r="N26" s="137">
        <f>SUM(N28:N37)*1.2/27</f>
        <v>488.69333333333333</v>
      </c>
      <c r="O26" s="137">
        <f>SUM(O28:O37)</f>
        <v>108</v>
      </c>
    </row>
    <row r="27" spans="1:15" s="97" customFormat="1" ht="105" x14ac:dyDescent="0.25">
      <c r="A27" s="132" t="s">
        <v>97</v>
      </c>
      <c r="B27" s="132" t="s">
        <v>98</v>
      </c>
      <c r="C27" s="132" t="s">
        <v>27</v>
      </c>
      <c r="D27" s="132" t="s">
        <v>160</v>
      </c>
      <c r="E27" s="132" t="s">
        <v>161</v>
      </c>
      <c r="F27" s="132" t="s">
        <v>162</v>
      </c>
      <c r="G27" s="132" t="s">
        <v>175</v>
      </c>
      <c r="H27" s="132" t="s">
        <v>117</v>
      </c>
      <c r="I27" s="132" t="s">
        <v>176</v>
      </c>
      <c r="J27" s="132" t="s">
        <v>177</v>
      </c>
      <c r="K27" s="132" t="s">
        <v>122</v>
      </c>
      <c r="L27" s="132" t="s">
        <v>118</v>
      </c>
      <c r="M27" s="87" t="s">
        <v>119</v>
      </c>
      <c r="N27" s="87" t="s">
        <v>120</v>
      </c>
      <c r="O27" s="87" t="s">
        <v>178</v>
      </c>
    </row>
    <row r="28" spans="1:15" ht="15.75" x14ac:dyDescent="0.25">
      <c r="A28" s="92"/>
      <c r="B28" s="126" t="s">
        <v>182</v>
      </c>
      <c r="C28" s="126"/>
      <c r="D28" s="131"/>
      <c r="E28" s="131"/>
      <c r="F28" s="93"/>
      <c r="G28" s="127"/>
      <c r="H28" s="127"/>
      <c r="I28" s="128"/>
      <c r="J28" s="127"/>
      <c r="K28" s="127"/>
      <c r="L28" s="128"/>
      <c r="M28" s="129"/>
      <c r="N28" s="130"/>
      <c r="O28" s="118"/>
    </row>
    <row r="29" spans="1:15" x14ac:dyDescent="0.25">
      <c r="A29" s="92">
        <v>1</v>
      </c>
      <c r="B29" s="92" t="s">
        <v>165</v>
      </c>
      <c r="C29" s="92" t="s">
        <v>105</v>
      </c>
      <c r="D29" s="92" t="s">
        <v>163</v>
      </c>
      <c r="E29" s="92" t="s">
        <v>164</v>
      </c>
      <c r="F29" s="92" t="s">
        <v>172</v>
      </c>
      <c r="G29" s="127"/>
      <c r="H29" s="127">
        <v>7</v>
      </c>
      <c r="I29" s="128">
        <v>0</v>
      </c>
      <c r="J29" s="127">
        <v>149</v>
      </c>
      <c r="K29" s="127">
        <v>2.1</v>
      </c>
      <c r="L29" s="128">
        <f t="shared" ref="L29:L37" si="3">H29-I29</f>
        <v>7</v>
      </c>
      <c r="M29" s="133">
        <f>J29*K29*L29</f>
        <v>2190.3000000000002</v>
      </c>
      <c r="N29" s="92">
        <f>M29</f>
        <v>2190.3000000000002</v>
      </c>
      <c r="O29" s="118">
        <v>12</v>
      </c>
    </row>
    <row r="30" spans="1:15" x14ac:dyDescent="0.25">
      <c r="A30" s="92">
        <v>2</v>
      </c>
      <c r="B30" s="92" t="s">
        <v>166</v>
      </c>
      <c r="C30" s="92">
        <v>1</v>
      </c>
      <c r="D30" s="92" t="s">
        <v>163</v>
      </c>
      <c r="E30" s="92" t="s">
        <v>164</v>
      </c>
      <c r="F30" s="92" t="s">
        <v>173</v>
      </c>
      <c r="G30" s="127"/>
      <c r="H30" s="127">
        <v>7.2</v>
      </c>
      <c r="I30" s="128">
        <v>0.2</v>
      </c>
      <c r="J30" s="127">
        <v>33</v>
      </c>
      <c r="K30" s="127">
        <v>2.1</v>
      </c>
      <c r="L30" s="128">
        <f t="shared" si="3"/>
        <v>7</v>
      </c>
      <c r="M30" s="133">
        <f t="shared" ref="M30:M37" si="4">J30*K30*L30</f>
        <v>485.09999999999997</v>
      </c>
      <c r="N30" s="92">
        <f t="shared" ref="N30:N37" si="5">M30</f>
        <v>485.09999999999997</v>
      </c>
      <c r="O30" s="118">
        <v>12</v>
      </c>
    </row>
    <row r="31" spans="1:15" x14ac:dyDescent="0.25">
      <c r="A31" s="92">
        <v>3</v>
      </c>
      <c r="B31" s="92" t="s">
        <v>167</v>
      </c>
      <c r="C31" s="92">
        <v>1</v>
      </c>
      <c r="D31" s="92" t="s">
        <v>163</v>
      </c>
      <c r="E31" s="92" t="s">
        <v>164</v>
      </c>
      <c r="F31" s="92" t="s">
        <v>174</v>
      </c>
      <c r="G31" s="92"/>
      <c r="H31" s="92">
        <v>7.5</v>
      </c>
      <c r="I31" s="92">
        <v>0.5</v>
      </c>
      <c r="J31" s="92">
        <v>58</v>
      </c>
      <c r="K31" s="127">
        <v>2.1</v>
      </c>
      <c r="L31" s="128">
        <f t="shared" si="3"/>
        <v>7</v>
      </c>
      <c r="M31" s="133">
        <f t="shared" si="4"/>
        <v>852.60000000000014</v>
      </c>
      <c r="N31" s="92">
        <f t="shared" si="5"/>
        <v>852.60000000000014</v>
      </c>
      <c r="O31" s="118">
        <v>12</v>
      </c>
    </row>
    <row r="32" spans="1:15" x14ac:dyDescent="0.25">
      <c r="A32" s="92">
        <v>4</v>
      </c>
      <c r="B32" s="92" t="s">
        <v>168</v>
      </c>
      <c r="C32" s="92">
        <v>1</v>
      </c>
      <c r="D32" s="92" t="s">
        <v>163</v>
      </c>
      <c r="E32" s="92" t="s">
        <v>164</v>
      </c>
      <c r="F32" s="92" t="s">
        <v>174</v>
      </c>
      <c r="G32" s="92"/>
      <c r="H32" s="92">
        <v>7.5</v>
      </c>
      <c r="I32" s="92">
        <v>0.5</v>
      </c>
      <c r="J32" s="92">
        <v>58</v>
      </c>
      <c r="K32" s="127">
        <v>2.1</v>
      </c>
      <c r="L32" s="128">
        <f t="shared" si="3"/>
        <v>7</v>
      </c>
      <c r="M32" s="133">
        <f t="shared" si="4"/>
        <v>852.60000000000014</v>
      </c>
      <c r="N32" s="92">
        <f t="shared" si="5"/>
        <v>852.60000000000014</v>
      </c>
      <c r="O32" s="118">
        <v>12</v>
      </c>
    </row>
    <row r="33" spans="1:15" x14ac:dyDescent="0.25">
      <c r="A33" s="92">
        <v>5</v>
      </c>
      <c r="B33" s="92" t="s">
        <v>169</v>
      </c>
      <c r="C33" s="92">
        <v>1</v>
      </c>
      <c r="D33" s="92" t="s">
        <v>163</v>
      </c>
      <c r="E33" s="92" t="s">
        <v>164</v>
      </c>
      <c r="F33" s="92" t="s">
        <v>174</v>
      </c>
      <c r="G33" s="92"/>
      <c r="H33" s="92">
        <v>7</v>
      </c>
      <c r="I33" s="92">
        <v>0</v>
      </c>
      <c r="J33" s="92">
        <v>25</v>
      </c>
      <c r="K33" s="127">
        <v>2.1</v>
      </c>
      <c r="L33" s="128">
        <f t="shared" si="3"/>
        <v>7</v>
      </c>
      <c r="M33" s="133">
        <f t="shared" si="4"/>
        <v>367.5</v>
      </c>
      <c r="N33" s="92">
        <f t="shared" si="5"/>
        <v>367.5</v>
      </c>
      <c r="O33" s="118">
        <v>12</v>
      </c>
    </row>
    <row r="34" spans="1:15" x14ac:dyDescent="0.25">
      <c r="A34" s="92">
        <v>6</v>
      </c>
      <c r="B34" s="92" t="s">
        <v>170</v>
      </c>
      <c r="C34" s="92">
        <v>1</v>
      </c>
      <c r="D34" s="92" t="s">
        <v>163</v>
      </c>
      <c r="E34" s="92" t="s">
        <v>164</v>
      </c>
      <c r="F34" s="92" t="s">
        <v>174</v>
      </c>
      <c r="G34" s="92"/>
      <c r="H34" s="92">
        <v>7</v>
      </c>
      <c r="I34" s="92">
        <v>0</v>
      </c>
      <c r="J34" s="92">
        <v>230</v>
      </c>
      <c r="K34" s="127">
        <v>2.1</v>
      </c>
      <c r="L34" s="128">
        <f t="shared" si="3"/>
        <v>7</v>
      </c>
      <c r="M34" s="133">
        <f t="shared" si="4"/>
        <v>3381</v>
      </c>
      <c r="N34" s="92">
        <f t="shared" si="5"/>
        <v>3381</v>
      </c>
      <c r="O34" s="118">
        <v>12</v>
      </c>
    </row>
    <row r="35" spans="1:15" x14ac:dyDescent="0.25">
      <c r="A35" s="92">
        <v>7</v>
      </c>
      <c r="B35" s="92" t="s">
        <v>127</v>
      </c>
      <c r="C35" s="92">
        <v>1</v>
      </c>
      <c r="D35" s="92" t="s">
        <v>163</v>
      </c>
      <c r="E35" s="92" t="s">
        <v>164</v>
      </c>
      <c r="F35" s="92" t="s">
        <v>174</v>
      </c>
      <c r="G35" s="92"/>
      <c r="H35" s="92">
        <v>7</v>
      </c>
      <c r="I35" s="92">
        <v>0</v>
      </c>
      <c r="J35" s="92">
        <v>62</v>
      </c>
      <c r="K35" s="127">
        <v>2.1</v>
      </c>
      <c r="L35" s="128">
        <f t="shared" si="3"/>
        <v>7</v>
      </c>
      <c r="M35" s="133">
        <f t="shared" si="4"/>
        <v>911.40000000000009</v>
      </c>
      <c r="N35" s="92">
        <f t="shared" si="5"/>
        <v>911.40000000000009</v>
      </c>
      <c r="O35" s="118">
        <v>12</v>
      </c>
    </row>
    <row r="36" spans="1:15" x14ac:dyDescent="0.25">
      <c r="A36" s="92">
        <v>8</v>
      </c>
      <c r="B36" s="92" t="s">
        <v>171</v>
      </c>
      <c r="C36" s="92">
        <v>1</v>
      </c>
      <c r="D36" s="92" t="s">
        <v>163</v>
      </c>
      <c r="E36" s="92" t="s">
        <v>164</v>
      </c>
      <c r="F36" s="92" t="s">
        <v>174</v>
      </c>
      <c r="G36" s="92"/>
      <c r="H36" s="92">
        <v>7</v>
      </c>
      <c r="I36" s="92">
        <v>0</v>
      </c>
      <c r="J36" s="92">
        <v>80</v>
      </c>
      <c r="K36" s="127">
        <v>2.1</v>
      </c>
      <c r="L36" s="128">
        <f t="shared" si="3"/>
        <v>7</v>
      </c>
      <c r="M36" s="133">
        <f t="shared" si="4"/>
        <v>1176</v>
      </c>
      <c r="N36" s="92">
        <f t="shared" si="5"/>
        <v>1176</v>
      </c>
      <c r="O36" s="118">
        <v>12</v>
      </c>
    </row>
    <row r="37" spans="1:15" x14ac:dyDescent="0.25">
      <c r="A37" s="92">
        <v>8</v>
      </c>
      <c r="B37" s="92" t="s">
        <v>171</v>
      </c>
      <c r="C37" s="92">
        <v>1</v>
      </c>
      <c r="D37" s="92" t="s">
        <v>163</v>
      </c>
      <c r="E37" s="92" t="s">
        <v>164</v>
      </c>
      <c r="F37" s="92" t="s">
        <v>174</v>
      </c>
      <c r="G37" s="92"/>
      <c r="H37" s="92">
        <v>7</v>
      </c>
      <c r="I37" s="92">
        <v>0</v>
      </c>
      <c r="J37" s="92">
        <v>53</v>
      </c>
      <c r="K37" s="127">
        <v>2.1</v>
      </c>
      <c r="L37" s="128">
        <f t="shared" si="3"/>
        <v>7</v>
      </c>
      <c r="M37" s="133">
        <f t="shared" si="4"/>
        <v>779.10000000000014</v>
      </c>
      <c r="N37" s="92">
        <f t="shared" si="5"/>
        <v>779.10000000000014</v>
      </c>
      <c r="O37" s="118">
        <v>12</v>
      </c>
    </row>
    <row r="38" spans="1:15" x14ac:dyDescent="0.25">
      <c r="E38" s="96"/>
      <c r="F38" s="96"/>
      <c r="I38"/>
    </row>
    <row r="39" spans="1:15" x14ac:dyDescent="0.25">
      <c r="E39" s="96"/>
      <c r="F39" s="96"/>
      <c r="I39"/>
    </row>
    <row r="40" spans="1:15" x14ac:dyDescent="0.25">
      <c r="A40" s="114" t="s">
        <v>107</v>
      </c>
      <c r="B40" s="92"/>
      <c r="C40" s="92"/>
      <c r="D40" s="114">
        <f>SUM(D41:D49)</f>
        <v>300</v>
      </c>
      <c r="E40" s="114"/>
      <c r="F40" s="114"/>
      <c r="G40" s="134">
        <f>SUM(G41:G49)/27</f>
        <v>555.55555555555554</v>
      </c>
      <c r="H40" s="134">
        <f>SUM(H41:H49)*1.2/27</f>
        <v>33333.333333333336</v>
      </c>
      <c r="I40" s="114">
        <f>SUM(I41:I49)</f>
        <v>108</v>
      </c>
      <c r="J40" s="94"/>
    </row>
    <row r="41" spans="1:15" ht="45" x14ac:dyDescent="0.25">
      <c r="A41" s="90"/>
      <c r="B41" s="95" t="s">
        <v>108</v>
      </c>
      <c r="C41" s="90">
        <v>1</v>
      </c>
      <c r="D41" s="90">
        <v>62</v>
      </c>
      <c r="E41" s="90">
        <v>10</v>
      </c>
      <c r="F41" s="90">
        <v>5</v>
      </c>
      <c r="G41" s="92">
        <f>D41*E41*F41</f>
        <v>3100</v>
      </c>
      <c r="H41" s="92">
        <f t="shared" ref="H41:H49" si="6">E41*F41*G41</f>
        <v>155000</v>
      </c>
      <c r="I41" s="118">
        <v>12</v>
      </c>
    </row>
    <row r="42" spans="1:15" x14ac:dyDescent="0.25">
      <c r="A42" s="90"/>
      <c r="B42" s="90"/>
      <c r="C42" s="90">
        <v>1</v>
      </c>
      <c r="D42" s="90">
        <v>30</v>
      </c>
      <c r="E42" s="90">
        <v>10</v>
      </c>
      <c r="F42" s="90">
        <v>5</v>
      </c>
      <c r="G42" s="92">
        <f t="shared" ref="G42:G49" si="7">D42*E42*F42</f>
        <v>1500</v>
      </c>
      <c r="H42" s="92">
        <f>E42*F42*G42</f>
        <v>75000</v>
      </c>
      <c r="I42" s="118">
        <v>12</v>
      </c>
    </row>
    <row r="43" spans="1:15" x14ac:dyDescent="0.25">
      <c r="A43" s="90"/>
      <c r="B43" s="90"/>
      <c r="C43" s="90">
        <v>1</v>
      </c>
      <c r="D43" s="90">
        <v>25</v>
      </c>
      <c r="E43" s="90">
        <v>10</v>
      </c>
      <c r="F43" s="90">
        <v>5</v>
      </c>
      <c r="G43" s="92">
        <f t="shared" si="7"/>
        <v>1250</v>
      </c>
      <c r="H43" s="92">
        <f t="shared" si="6"/>
        <v>62500</v>
      </c>
      <c r="I43" s="118">
        <v>12</v>
      </c>
    </row>
    <row r="44" spans="1:15" x14ac:dyDescent="0.25">
      <c r="A44" s="90"/>
      <c r="B44" s="90"/>
      <c r="C44" s="90">
        <v>1</v>
      </c>
      <c r="D44" s="90">
        <v>25</v>
      </c>
      <c r="E44" s="90">
        <v>10</v>
      </c>
      <c r="F44" s="90">
        <v>5</v>
      </c>
      <c r="G44" s="92">
        <f t="shared" si="7"/>
        <v>1250</v>
      </c>
      <c r="H44" s="92">
        <f t="shared" si="6"/>
        <v>62500</v>
      </c>
      <c r="I44" s="118">
        <v>12</v>
      </c>
    </row>
    <row r="45" spans="1:15" x14ac:dyDescent="0.25">
      <c r="A45" s="90"/>
      <c r="B45" s="90" t="s">
        <v>110</v>
      </c>
      <c r="C45" s="90">
        <v>1</v>
      </c>
      <c r="D45" s="90">
        <v>53</v>
      </c>
      <c r="E45" s="90">
        <v>10</v>
      </c>
      <c r="F45" s="90">
        <v>5</v>
      </c>
      <c r="G45" s="92">
        <f t="shared" si="7"/>
        <v>2650</v>
      </c>
      <c r="H45" s="92">
        <f t="shared" si="6"/>
        <v>132500</v>
      </c>
      <c r="I45" s="118">
        <v>12</v>
      </c>
    </row>
    <row r="46" spans="1:15" x14ac:dyDescent="0.25">
      <c r="A46" s="90"/>
      <c r="B46" s="90" t="s">
        <v>111</v>
      </c>
      <c r="C46" s="90">
        <v>1</v>
      </c>
      <c r="D46" s="90">
        <v>30</v>
      </c>
      <c r="E46" s="90">
        <v>10</v>
      </c>
      <c r="F46" s="90">
        <v>5</v>
      </c>
      <c r="G46" s="92">
        <f t="shared" si="7"/>
        <v>1500</v>
      </c>
      <c r="H46" s="92">
        <f t="shared" si="6"/>
        <v>75000</v>
      </c>
      <c r="I46" s="118">
        <v>12</v>
      </c>
    </row>
    <row r="47" spans="1:15" x14ac:dyDescent="0.25">
      <c r="A47" s="92"/>
      <c r="B47" s="92"/>
      <c r="C47" s="92"/>
      <c r="D47" s="90">
        <v>25</v>
      </c>
      <c r="E47" s="90">
        <v>10</v>
      </c>
      <c r="F47" s="90">
        <v>5</v>
      </c>
      <c r="G47" s="92">
        <f t="shared" si="7"/>
        <v>1250</v>
      </c>
      <c r="H47" s="92">
        <f t="shared" si="6"/>
        <v>62500</v>
      </c>
      <c r="I47" s="118">
        <v>12</v>
      </c>
    </row>
    <row r="48" spans="1:15" x14ac:dyDescent="0.25">
      <c r="A48" s="92"/>
      <c r="B48" s="92"/>
      <c r="C48" s="92"/>
      <c r="D48" s="90">
        <v>25</v>
      </c>
      <c r="E48" s="90">
        <v>10</v>
      </c>
      <c r="F48" s="90">
        <v>5</v>
      </c>
      <c r="G48" s="92">
        <f t="shared" si="7"/>
        <v>1250</v>
      </c>
      <c r="H48" s="92">
        <f t="shared" si="6"/>
        <v>62500</v>
      </c>
      <c r="I48" s="118">
        <v>12</v>
      </c>
    </row>
    <row r="49" spans="1:9" x14ac:dyDescent="0.25">
      <c r="A49" s="92"/>
      <c r="B49" s="92"/>
      <c r="C49" s="92"/>
      <c r="D49" s="90">
        <v>25</v>
      </c>
      <c r="E49" s="90">
        <v>10</v>
      </c>
      <c r="F49" s="90">
        <v>5</v>
      </c>
      <c r="G49" s="92">
        <f t="shared" si="7"/>
        <v>1250</v>
      </c>
      <c r="H49" s="92">
        <f t="shared" si="6"/>
        <v>62500</v>
      </c>
      <c r="I49" s="118">
        <v>12</v>
      </c>
    </row>
  </sheetData>
  <mergeCells count="1">
    <mergeCell ref="A26:D2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C1E2-BB89-4685-967F-65C260402354}">
  <dimension ref="A2:M168"/>
  <sheetViews>
    <sheetView topLeftCell="A123" workbookViewId="0">
      <selection activeCell="A169" sqref="A169:XFD183"/>
    </sheetView>
  </sheetViews>
  <sheetFormatPr defaultColWidth="8.7109375" defaultRowHeight="15" x14ac:dyDescent="0.25"/>
  <cols>
    <col min="1" max="1" width="5.140625" style="85" customWidth="1"/>
    <col min="2" max="2" width="17" style="85" bestFit="1" customWidth="1"/>
    <col min="3" max="3" width="16.28515625" style="85" bestFit="1" customWidth="1"/>
    <col min="4" max="4" width="6.28515625" style="85" bestFit="1" customWidth="1"/>
    <col min="5" max="6" width="9.7109375" style="85" bestFit="1" customWidth="1"/>
    <col min="7" max="7" width="7.5703125" style="85" bestFit="1" customWidth="1"/>
    <col min="8" max="9" width="9.85546875" style="85" bestFit="1" customWidth="1"/>
    <col min="10" max="10" width="11.140625" style="85" bestFit="1" customWidth="1"/>
    <col min="11" max="11" width="5.5703125" style="85" bestFit="1" customWidth="1"/>
    <col min="12" max="12" width="10.28515625" style="85" bestFit="1" customWidth="1"/>
    <col min="13" max="16384" width="8.7109375" style="85"/>
  </cols>
  <sheetData>
    <row r="2" spans="1:13" ht="15.75" x14ac:dyDescent="0.25">
      <c r="A2" s="119" t="s">
        <v>130</v>
      </c>
      <c r="B2" s="120" t="s">
        <v>131</v>
      </c>
      <c r="C2" s="121" t="s">
        <v>132</v>
      </c>
      <c r="D2" s="122" t="s">
        <v>27</v>
      </c>
      <c r="E2" s="121" t="s">
        <v>133</v>
      </c>
      <c r="F2" s="121" t="s">
        <v>134</v>
      </c>
      <c r="G2" s="121" t="s">
        <v>135</v>
      </c>
      <c r="H2" s="121" t="s">
        <v>136</v>
      </c>
      <c r="I2" s="121" t="s">
        <v>10</v>
      </c>
      <c r="J2" s="121" t="s">
        <v>137</v>
      </c>
      <c r="K2" s="121" t="s">
        <v>10</v>
      </c>
      <c r="L2" s="121" t="s">
        <v>138</v>
      </c>
    </row>
    <row r="3" spans="1:13" s="97" customFormat="1" x14ac:dyDescent="0.25">
      <c r="A3" s="451">
        <v>1</v>
      </c>
      <c r="B3" s="454" t="s">
        <v>13</v>
      </c>
      <c r="C3" s="451"/>
      <c r="D3" s="452"/>
      <c r="E3" s="452"/>
      <c r="F3" s="452"/>
      <c r="G3" s="452"/>
      <c r="H3" s="452"/>
      <c r="I3" s="455"/>
      <c r="J3" s="452">
        <f>SUM(H4:H21)/27</f>
        <v>8010.4469777777786</v>
      </c>
      <c r="K3" s="451" t="s">
        <v>323</v>
      </c>
      <c r="L3" s="451"/>
    </row>
    <row r="4" spans="1:13" s="97" customFormat="1" x14ac:dyDescent="0.25">
      <c r="A4" s="79"/>
      <c r="B4" s="456"/>
      <c r="C4" s="79" t="s">
        <v>687</v>
      </c>
      <c r="D4" s="457">
        <v>1</v>
      </c>
      <c r="E4" s="565">
        <v>11989.84</v>
      </c>
      <c r="F4" s="566"/>
      <c r="G4" s="440">
        <v>0.67</v>
      </c>
      <c r="H4" s="440">
        <f t="shared" ref="H4:H14" si="0">PRODUCT(D4:G4)</f>
        <v>8033.1928000000007</v>
      </c>
      <c r="I4" s="453" t="s">
        <v>382</v>
      </c>
      <c r="J4" s="445"/>
      <c r="K4" s="79"/>
      <c r="L4" s="79"/>
    </row>
    <row r="5" spans="1:13" s="97" customFormat="1" x14ac:dyDescent="0.25">
      <c r="A5" s="79"/>
      <c r="B5" s="456"/>
      <c r="C5" s="79" t="s">
        <v>688</v>
      </c>
      <c r="D5" s="457">
        <v>1</v>
      </c>
      <c r="E5" s="565">
        <v>3955.2</v>
      </c>
      <c r="F5" s="566"/>
      <c r="G5" s="440">
        <v>0.67</v>
      </c>
      <c r="H5" s="440">
        <f t="shared" si="0"/>
        <v>2649.9839999999999</v>
      </c>
      <c r="I5" s="453" t="s">
        <v>382</v>
      </c>
      <c r="J5" s="79"/>
      <c r="K5" s="79"/>
      <c r="L5" s="79"/>
    </row>
    <row r="6" spans="1:13" s="97" customFormat="1" x14ac:dyDescent="0.25">
      <c r="A6" s="79"/>
      <c r="B6" s="456"/>
      <c r="C6" s="79" t="s">
        <v>689</v>
      </c>
      <c r="D6" s="457">
        <v>1</v>
      </c>
      <c r="E6" s="565">
        <v>31529.1</v>
      </c>
      <c r="F6" s="566"/>
      <c r="G6" s="440">
        <v>0.67</v>
      </c>
      <c r="H6" s="440">
        <f t="shared" si="0"/>
        <v>21124.496999999999</v>
      </c>
      <c r="I6" s="453" t="s">
        <v>382</v>
      </c>
      <c r="J6" s="79"/>
      <c r="K6" s="79"/>
      <c r="L6" s="79"/>
    </row>
    <row r="7" spans="1:13" s="97" customFormat="1" x14ac:dyDescent="0.25">
      <c r="A7" s="79"/>
      <c r="B7" s="456"/>
      <c r="C7" s="79" t="s">
        <v>690</v>
      </c>
      <c r="D7" s="457">
        <v>1</v>
      </c>
      <c r="E7" s="565">
        <v>103698.8</v>
      </c>
      <c r="F7" s="566"/>
      <c r="G7" s="440">
        <v>0.67</v>
      </c>
      <c r="H7" s="440">
        <f t="shared" si="0"/>
        <v>69478.196000000011</v>
      </c>
      <c r="I7" s="453" t="s">
        <v>382</v>
      </c>
      <c r="J7" s="79"/>
      <c r="K7" s="79"/>
      <c r="L7" s="79"/>
    </row>
    <row r="8" spans="1:13" s="97" customFormat="1" x14ac:dyDescent="0.25">
      <c r="A8" s="79"/>
      <c r="B8" s="456"/>
      <c r="C8" s="79" t="s">
        <v>693</v>
      </c>
      <c r="D8" s="457">
        <v>1</v>
      </c>
      <c r="E8" s="565">
        <v>27521</v>
      </c>
      <c r="F8" s="566"/>
      <c r="G8" s="440">
        <v>0.67</v>
      </c>
      <c r="H8" s="440">
        <f t="shared" si="0"/>
        <v>18439.07</v>
      </c>
      <c r="I8" s="453" t="s">
        <v>382</v>
      </c>
      <c r="J8" s="79"/>
      <c r="K8" s="79"/>
      <c r="L8" s="79"/>
      <c r="M8" s="458"/>
    </row>
    <row r="9" spans="1:13" s="97" customFormat="1" x14ac:dyDescent="0.25">
      <c r="A9" s="79"/>
      <c r="B9" s="456"/>
      <c r="C9" s="79" t="s">
        <v>695</v>
      </c>
      <c r="D9" s="457">
        <v>1</v>
      </c>
      <c r="E9" s="565">
        <v>4109</v>
      </c>
      <c r="F9" s="566"/>
      <c r="G9" s="440">
        <v>0.67</v>
      </c>
      <c r="H9" s="440">
        <f t="shared" si="0"/>
        <v>2753.03</v>
      </c>
      <c r="I9" s="453" t="s">
        <v>382</v>
      </c>
      <c r="J9" s="79"/>
      <c r="K9" s="79"/>
      <c r="L9" s="79"/>
      <c r="M9" s="458"/>
    </row>
    <row r="10" spans="1:13" s="97" customFormat="1" x14ac:dyDescent="0.25">
      <c r="A10" s="79"/>
      <c r="B10" s="456"/>
      <c r="C10" s="79" t="s">
        <v>694</v>
      </c>
      <c r="D10" s="457">
        <v>1</v>
      </c>
      <c r="E10" s="565">
        <v>4109</v>
      </c>
      <c r="F10" s="566"/>
      <c r="G10" s="440">
        <v>0.67</v>
      </c>
      <c r="H10" s="440">
        <f t="shared" si="0"/>
        <v>2753.03</v>
      </c>
      <c r="I10" s="453" t="s">
        <v>382</v>
      </c>
      <c r="J10" s="79"/>
      <c r="K10" s="79"/>
      <c r="L10" s="79"/>
      <c r="M10" s="458"/>
    </row>
    <row r="11" spans="1:13" s="97" customFormat="1" x14ac:dyDescent="0.25">
      <c r="A11" s="79"/>
      <c r="B11" s="456"/>
      <c r="C11" s="79" t="s">
        <v>696</v>
      </c>
      <c r="D11" s="457">
        <v>1</v>
      </c>
      <c r="E11" s="565">
        <v>24568.1</v>
      </c>
      <c r="F11" s="566"/>
      <c r="G11" s="440">
        <v>0.67</v>
      </c>
      <c r="H11" s="440">
        <f t="shared" si="0"/>
        <v>16460.627</v>
      </c>
      <c r="I11" s="453" t="s">
        <v>382</v>
      </c>
      <c r="J11" s="79"/>
      <c r="K11" s="79"/>
      <c r="L11" s="79"/>
      <c r="M11" s="458"/>
    </row>
    <row r="12" spans="1:13" s="97" customFormat="1" x14ac:dyDescent="0.25">
      <c r="A12" s="79"/>
      <c r="B12" s="456"/>
      <c r="C12" s="79" t="s">
        <v>105</v>
      </c>
      <c r="D12" s="457">
        <v>1</v>
      </c>
      <c r="E12" s="565">
        <v>30841</v>
      </c>
      <c r="F12" s="566"/>
      <c r="G12" s="440">
        <v>0.67</v>
      </c>
      <c r="H12" s="440">
        <f t="shared" si="0"/>
        <v>20663.47</v>
      </c>
      <c r="I12" s="453" t="s">
        <v>382</v>
      </c>
      <c r="J12" s="79"/>
      <c r="K12" s="79"/>
      <c r="L12" s="79"/>
      <c r="M12" s="458"/>
    </row>
    <row r="13" spans="1:13" s="97" customFormat="1" x14ac:dyDescent="0.25">
      <c r="A13" s="79"/>
      <c r="B13" s="456"/>
      <c r="C13" s="79" t="s">
        <v>697</v>
      </c>
      <c r="D13" s="457">
        <v>1</v>
      </c>
      <c r="E13" s="565">
        <v>6039</v>
      </c>
      <c r="F13" s="566"/>
      <c r="G13" s="440">
        <v>0.67</v>
      </c>
      <c r="H13" s="440">
        <f t="shared" si="0"/>
        <v>4046.13</v>
      </c>
      <c r="I13" s="453" t="s">
        <v>382</v>
      </c>
      <c r="J13" s="79"/>
      <c r="K13" s="79"/>
      <c r="L13" s="79"/>
      <c r="M13" s="458"/>
    </row>
    <row r="14" spans="1:13" s="442" customFormat="1" ht="30" x14ac:dyDescent="0.25">
      <c r="A14" s="440"/>
      <c r="B14" s="459"/>
      <c r="C14" s="460" t="s">
        <v>686</v>
      </c>
      <c r="D14" s="457">
        <v>1</v>
      </c>
      <c r="E14" s="461">
        <f>2345</f>
        <v>2345</v>
      </c>
      <c r="F14" s="461">
        <v>2</v>
      </c>
      <c r="G14" s="461">
        <v>2</v>
      </c>
      <c r="H14" s="461">
        <f t="shared" si="0"/>
        <v>9380</v>
      </c>
      <c r="I14" s="453" t="s">
        <v>382</v>
      </c>
      <c r="J14" s="440"/>
      <c r="K14" s="440"/>
      <c r="L14" s="440"/>
    </row>
    <row r="15" spans="1:13" s="97" customFormat="1" x14ac:dyDescent="0.25">
      <c r="A15" s="79"/>
      <c r="B15" s="456"/>
      <c r="C15" s="79" t="s">
        <v>140</v>
      </c>
      <c r="D15" s="457">
        <v>1</v>
      </c>
      <c r="E15" s="565">
        <v>28811</v>
      </c>
      <c r="F15" s="566"/>
      <c r="G15" s="440">
        <v>0.67</v>
      </c>
      <c r="H15" s="440">
        <f>+PRODUCT(D15:G15)</f>
        <v>19303.370000000003</v>
      </c>
      <c r="I15" s="453" t="s">
        <v>382</v>
      </c>
      <c r="J15" s="79"/>
      <c r="K15" s="79"/>
      <c r="L15" s="79"/>
      <c r="M15" s="458"/>
    </row>
    <row r="16" spans="1:13" s="97" customFormat="1" x14ac:dyDescent="0.25">
      <c r="A16" s="79"/>
      <c r="B16" s="456"/>
      <c r="C16" s="79" t="s">
        <v>140</v>
      </c>
      <c r="D16" s="457">
        <v>4</v>
      </c>
      <c r="E16" s="565">
        <v>78.260000000000005</v>
      </c>
      <c r="F16" s="566"/>
      <c r="G16" s="440">
        <v>0.67</v>
      </c>
      <c r="H16" s="440">
        <f>+PRODUCT(D16:G16)</f>
        <v>209.73680000000002</v>
      </c>
      <c r="I16" s="453" t="s">
        <v>382</v>
      </c>
      <c r="J16" s="79"/>
      <c r="K16" s="79"/>
      <c r="L16" s="79"/>
      <c r="M16" s="458"/>
    </row>
    <row r="17" spans="1:12" s="97" customFormat="1" x14ac:dyDescent="0.25">
      <c r="A17" s="79"/>
      <c r="B17" s="456"/>
      <c r="C17" s="79" t="s">
        <v>140</v>
      </c>
      <c r="D17" s="457">
        <v>4</v>
      </c>
      <c r="E17" s="565">
        <v>38.61</v>
      </c>
      <c r="F17" s="566"/>
      <c r="G17" s="440">
        <v>0.67</v>
      </c>
      <c r="H17" s="440">
        <f>+PRODUCT(D17:G17)</f>
        <v>103.4748</v>
      </c>
      <c r="I17" s="453" t="s">
        <v>382</v>
      </c>
      <c r="J17" s="79"/>
      <c r="K17" s="79"/>
      <c r="L17" s="79"/>
    </row>
    <row r="18" spans="1:12" s="97" customFormat="1" x14ac:dyDescent="0.25">
      <c r="A18" s="79"/>
      <c r="B18" s="456"/>
      <c r="C18" s="79" t="s">
        <v>698</v>
      </c>
      <c r="D18" s="457">
        <v>4</v>
      </c>
      <c r="E18" s="461">
        <v>1</v>
      </c>
      <c r="F18" s="461">
        <v>1</v>
      </c>
      <c r="G18" s="461">
        <v>4</v>
      </c>
      <c r="H18" s="461">
        <f>PRODUCT(D18:G18)</f>
        <v>16</v>
      </c>
      <c r="I18" s="453" t="s">
        <v>382</v>
      </c>
      <c r="J18" s="79"/>
      <c r="K18" s="79"/>
      <c r="L18" s="79"/>
    </row>
    <row r="19" spans="1:12" s="97" customFormat="1" ht="30" x14ac:dyDescent="0.25">
      <c r="A19" s="79"/>
      <c r="B19" s="458"/>
      <c r="C19" s="462" t="s">
        <v>691</v>
      </c>
      <c r="D19" s="447">
        <v>1</v>
      </c>
      <c r="E19" s="447"/>
      <c r="F19" s="447">
        <v>1940</v>
      </c>
      <c r="G19" s="447">
        <v>1.2000000000000002</v>
      </c>
      <c r="H19" s="447">
        <f t="shared" ref="H19:H21" si="1">PRODUCT(D19:G19)</f>
        <v>2328.0000000000005</v>
      </c>
      <c r="I19" s="453" t="s">
        <v>382</v>
      </c>
      <c r="J19" s="79"/>
      <c r="K19" s="79"/>
      <c r="L19" s="79"/>
    </row>
    <row r="20" spans="1:12" s="97" customFormat="1" ht="30" x14ac:dyDescent="0.25">
      <c r="A20" s="79"/>
      <c r="B20" s="458"/>
      <c r="C20" s="462" t="s">
        <v>692</v>
      </c>
      <c r="D20" s="447">
        <v>1</v>
      </c>
      <c r="E20" s="447"/>
      <c r="F20" s="447">
        <v>1024</v>
      </c>
      <c r="G20" s="447">
        <v>1.2000000000000002</v>
      </c>
      <c r="H20" s="447">
        <f t="shared" si="1"/>
        <v>1228.8000000000002</v>
      </c>
      <c r="I20" s="453" t="s">
        <v>382</v>
      </c>
      <c r="J20" s="79"/>
      <c r="K20" s="79"/>
      <c r="L20" s="79"/>
    </row>
    <row r="21" spans="1:12" s="97" customFormat="1" x14ac:dyDescent="0.25">
      <c r="A21" s="79"/>
      <c r="B21" s="456"/>
      <c r="C21" s="79" t="s">
        <v>699</v>
      </c>
      <c r="D21" s="447">
        <v>1</v>
      </c>
      <c r="E21" s="443"/>
      <c r="F21" s="447">
        <v>25838</v>
      </c>
      <c r="G21" s="440">
        <v>0.67</v>
      </c>
      <c r="H21" s="447">
        <f t="shared" si="1"/>
        <v>17311.460000000003</v>
      </c>
      <c r="I21" s="453" t="s">
        <v>382</v>
      </c>
      <c r="J21" s="79"/>
      <c r="K21" s="79"/>
      <c r="L21" s="79"/>
    </row>
    <row r="22" spans="1:12" s="97" customFormat="1" x14ac:dyDescent="0.25">
      <c r="A22" s="79"/>
      <c r="B22" s="456"/>
      <c r="C22" s="79"/>
      <c r="D22" s="457"/>
      <c r="E22" s="443"/>
      <c r="F22" s="444"/>
      <c r="G22" s="440"/>
      <c r="H22" s="440"/>
      <c r="I22" s="453"/>
      <c r="J22" s="79"/>
      <c r="K22" s="79"/>
      <c r="L22" s="79"/>
    </row>
    <row r="23" spans="1:12" s="97" customFormat="1" x14ac:dyDescent="0.25">
      <c r="A23" s="451">
        <v>2</v>
      </c>
      <c r="B23" s="454" t="s">
        <v>500</v>
      </c>
      <c r="C23" s="451"/>
      <c r="D23" s="452"/>
      <c r="E23" s="452"/>
      <c r="F23" s="452"/>
      <c r="G23" s="452"/>
      <c r="H23" s="452"/>
      <c r="I23" s="455"/>
      <c r="J23" s="452">
        <f>SUM(H24:H56)/27*1.3</f>
        <v>16099.204416790126</v>
      </c>
      <c r="K23" s="451" t="s">
        <v>323</v>
      </c>
      <c r="L23" s="451"/>
    </row>
    <row r="24" spans="1:12" s="97" customFormat="1" x14ac:dyDescent="0.25">
      <c r="A24" s="79"/>
      <c r="B24" s="462"/>
      <c r="C24" s="79" t="s">
        <v>687</v>
      </c>
      <c r="D24" s="457">
        <v>1</v>
      </c>
      <c r="E24" s="565">
        <v>11989.84</v>
      </c>
      <c r="F24" s="566"/>
      <c r="G24" s="440">
        <v>0.67</v>
      </c>
      <c r="H24" s="440">
        <f t="shared" ref="H24:H34" si="2">PRODUCT(D24:G24)</f>
        <v>8033.1928000000007</v>
      </c>
      <c r="I24" s="447" t="s">
        <v>382</v>
      </c>
      <c r="J24" s="79"/>
      <c r="K24" s="79"/>
      <c r="L24" s="79"/>
    </row>
    <row r="25" spans="1:12" x14ac:dyDescent="0.25">
      <c r="A25" s="80"/>
      <c r="B25" s="458"/>
      <c r="C25" s="79" t="s">
        <v>688</v>
      </c>
      <c r="D25" s="457">
        <v>1</v>
      </c>
      <c r="E25" s="565">
        <v>3955.2</v>
      </c>
      <c r="F25" s="566"/>
      <c r="G25" s="440">
        <v>0.67</v>
      </c>
      <c r="H25" s="440">
        <f t="shared" si="2"/>
        <v>2649.9839999999999</v>
      </c>
      <c r="I25" s="447" t="s">
        <v>382</v>
      </c>
      <c r="J25" s="80"/>
      <c r="K25" s="80"/>
      <c r="L25" s="80"/>
    </row>
    <row r="26" spans="1:12" x14ac:dyDescent="0.25">
      <c r="A26" s="80"/>
      <c r="B26" s="458"/>
      <c r="C26" s="79" t="s">
        <v>689</v>
      </c>
      <c r="D26" s="457">
        <v>1</v>
      </c>
      <c r="E26" s="565">
        <v>31529.1</v>
      </c>
      <c r="F26" s="566"/>
      <c r="G26" s="440">
        <v>0.67</v>
      </c>
      <c r="H26" s="440">
        <f t="shared" si="2"/>
        <v>21124.496999999999</v>
      </c>
      <c r="I26" s="447" t="s">
        <v>382</v>
      </c>
      <c r="J26" s="80"/>
      <c r="K26" s="80"/>
      <c r="L26" s="80"/>
    </row>
    <row r="27" spans="1:12" x14ac:dyDescent="0.25">
      <c r="A27" s="80"/>
      <c r="B27" s="458"/>
      <c r="C27" s="79" t="s">
        <v>690</v>
      </c>
      <c r="D27" s="457">
        <v>1</v>
      </c>
      <c r="E27" s="565">
        <v>103698.8</v>
      </c>
      <c r="F27" s="566"/>
      <c r="G27" s="440">
        <v>0.67</v>
      </c>
      <c r="H27" s="440">
        <f t="shared" si="2"/>
        <v>69478.196000000011</v>
      </c>
      <c r="I27" s="447" t="s">
        <v>382</v>
      </c>
      <c r="J27" s="80"/>
      <c r="K27" s="80"/>
      <c r="L27" s="80"/>
    </row>
    <row r="28" spans="1:12" x14ac:dyDescent="0.25">
      <c r="A28" s="80"/>
      <c r="B28" s="458"/>
      <c r="C28" s="79" t="s">
        <v>693</v>
      </c>
      <c r="D28" s="457">
        <v>1</v>
      </c>
      <c r="E28" s="565">
        <v>27521</v>
      </c>
      <c r="F28" s="566"/>
      <c r="G28" s="440">
        <v>0.67</v>
      </c>
      <c r="H28" s="440">
        <f t="shared" si="2"/>
        <v>18439.07</v>
      </c>
      <c r="I28" s="447" t="s">
        <v>382</v>
      </c>
      <c r="J28" s="80"/>
      <c r="K28" s="80"/>
      <c r="L28" s="80"/>
    </row>
    <row r="29" spans="1:12" x14ac:dyDescent="0.25">
      <c r="A29" s="80"/>
      <c r="B29" s="458"/>
      <c r="C29" s="79" t="s">
        <v>695</v>
      </c>
      <c r="D29" s="457">
        <v>1</v>
      </c>
      <c r="E29" s="565">
        <v>4109</v>
      </c>
      <c r="F29" s="566"/>
      <c r="G29" s="440">
        <v>0.67</v>
      </c>
      <c r="H29" s="440">
        <f t="shared" si="2"/>
        <v>2753.03</v>
      </c>
      <c r="I29" s="447" t="s">
        <v>382</v>
      </c>
      <c r="J29" s="80"/>
      <c r="K29" s="80"/>
      <c r="L29" s="80"/>
    </row>
    <row r="30" spans="1:12" x14ac:dyDescent="0.25">
      <c r="A30" s="80"/>
      <c r="B30" s="458"/>
      <c r="C30" s="79" t="s">
        <v>694</v>
      </c>
      <c r="D30" s="457">
        <v>1</v>
      </c>
      <c r="E30" s="565">
        <v>4109</v>
      </c>
      <c r="F30" s="566"/>
      <c r="G30" s="440">
        <v>0.67</v>
      </c>
      <c r="H30" s="440">
        <f t="shared" si="2"/>
        <v>2753.03</v>
      </c>
      <c r="I30" s="447" t="s">
        <v>382</v>
      </c>
      <c r="J30" s="80"/>
      <c r="K30" s="80"/>
      <c r="L30" s="80"/>
    </row>
    <row r="31" spans="1:12" x14ac:dyDescent="0.25">
      <c r="A31" s="80"/>
      <c r="B31" s="458"/>
      <c r="C31" s="79" t="s">
        <v>696</v>
      </c>
      <c r="D31" s="457">
        <v>1</v>
      </c>
      <c r="E31" s="565">
        <v>24568.1</v>
      </c>
      <c r="F31" s="566"/>
      <c r="G31" s="440">
        <v>0.67</v>
      </c>
      <c r="H31" s="440">
        <f t="shared" si="2"/>
        <v>16460.627</v>
      </c>
      <c r="I31" s="447" t="s">
        <v>382</v>
      </c>
      <c r="J31" s="80"/>
      <c r="K31" s="80"/>
      <c r="L31" s="80"/>
    </row>
    <row r="32" spans="1:12" x14ac:dyDescent="0.25">
      <c r="A32" s="80"/>
      <c r="B32" s="458"/>
      <c r="C32" s="79" t="s">
        <v>105</v>
      </c>
      <c r="D32" s="457">
        <v>1</v>
      </c>
      <c r="E32" s="565">
        <v>30841</v>
      </c>
      <c r="F32" s="566"/>
      <c r="G32" s="440">
        <v>0.67</v>
      </c>
      <c r="H32" s="440">
        <f t="shared" si="2"/>
        <v>20663.47</v>
      </c>
      <c r="I32" s="447" t="s">
        <v>382</v>
      </c>
      <c r="J32" s="80"/>
      <c r="K32" s="80"/>
      <c r="L32" s="80"/>
    </row>
    <row r="33" spans="1:12" x14ac:dyDescent="0.25">
      <c r="A33" s="80"/>
      <c r="B33" s="458"/>
      <c r="C33" s="79" t="s">
        <v>697</v>
      </c>
      <c r="D33" s="457">
        <v>1</v>
      </c>
      <c r="E33" s="565">
        <v>6039</v>
      </c>
      <c r="F33" s="566"/>
      <c r="G33" s="440">
        <v>0.67</v>
      </c>
      <c r="H33" s="440">
        <f t="shared" si="2"/>
        <v>4046.13</v>
      </c>
      <c r="I33" s="447" t="s">
        <v>382</v>
      </c>
      <c r="J33" s="80"/>
      <c r="K33" s="80"/>
      <c r="L33" s="80"/>
    </row>
    <row r="34" spans="1:12" ht="30" x14ac:dyDescent="0.25">
      <c r="A34" s="80"/>
      <c r="B34" s="458"/>
      <c r="C34" s="460" t="s">
        <v>686</v>
      </c>
      <c r="D34" s="457">
        <v>1</v>
      </c>
      <c r="E34" s="461">
        <f>2345</f>
        <v>2345</v>
      </c>
      <c r="F34" s="461">
        <v>2</v>
      </c>
      <c r="G34" s="461">
        <v>2</v>
      </c>
      <c r="H34" s="461">
        <f t="shared" si="2"/>
        <v>9380</v>
      </c>
      <c r="I34" s="447" t="s">
        <v>382</v>
      </c>
      <c r="J34" s="80"/>
      <c r="K34" s="80"/>
      <c r="L34" s="80"/>
    </row>
    <row r="35" spans="1:12" x14ac:dyDescent="0.25">
      <c r="A35" s="80"/>
      <c r="B35" s="458"/>
      <c r="C35" s="79" t="s">
        <v>140</v>
      </c>
      <c r="D35" s="457">
        <v>1</v>
      </c>
      <c r="E35" s="565">
        <v>28811</v>
      </c>
      <c r="F35" s="566"/>
      <c r="G35" s="440">
        <v>0.67</v>
      </c>
      <c r="H35" s="440">
        <f>+PRODUCT(D35:G35)</f>
        <v>19303.370000000003</v>
      </c>
      <c r="I35" s="447" t="s">
        <v>382</v>
      </c>
      <c r="J35" s="80"/>
      <c r="K35" s="80"/>
      <c r="L35" s="80"/>
    </row>
    <row r="36" spans="1:12" x14ac:dyDescent="0.25">
      <c r="A36" s="80"/>
      <c r="B36" s="458"/>
      <c r="C36" s="79" t="s">
        <v>140</v>
      </c>
      <c r="D36" s="457">
        <v>4</v>
      </c>
      <c r="E36" s="565">
        <v>78.260000000000005</v>
      </c>
      <c r="F36" s="566"/>
      <c r="G36" s="440">
        <v>0.67</v>
      </c>
      <c r="H36" s="440">
        <f>+PRODUCT(D36:G36)</f>
        <v>209.73680000000002</v>
      </c>
      <c r="I36" s="447" t="s">
        <v>382</v>
      </c>
      <c r="J36" s="80"/>
      <c r="K36" s="80"/>
      <c r="L36" s="80"/>
    </row>
    <row r="37" spans="1:12" x14ac:dyDescent="0.25">
      <c r="A37" s="80"/>
      <c r="B37" s="458"/>
      <c r="C37" s="79" t="s">
        <v>140</v>
      </c>
      <c r="D37" s="457">
        <v>4</v>
      </c>
      <c r="E37" s="565">
        <v>38.61</v>
      </c>
      <c r="F37" s="566"/>
      <c r="G37" s="440">
        <v>0.67</v>
      </c>
      <c r="H37" s="440">
        <f>+PRODUCT(D37:G37)</f>
        <v>103.4748</v>
      </c>
      <c r="I37" s="447" t="s">
        <v>382</v>
      </c>
      <c r="J37" s="80"/>
      <c r="K37" s="80"/>
      <c r="L37" s="80"/>
    </row>
    <row r="38" spans="1:12" x14ac:dyDescent="0.25">
      <c r="A38" s="80"/>
      <c r="B38" s="458"/>
      <c r="C38" s="79" t="s">
        <v>698</v>
      </c>
      <c r="D38" s="457">
        <v>4</v>
      </c>
      <c r="E38" s="565">
        <v>1</v>
      </c>
      <c r="F38" s="566">
        <v>1</v>
      </c>
      <c r="G38" s="440">
        <v>4</v>
      </c>
      <c r="H38" s="440">
        <f>PRODUCT(D38:G38)</f>
        <v>16</v>
      </c>
      <c r="I38" s="447" t="s">
        <v>382</v>
      </c>
      <c r="J38" s="80"/>
      <c r="K38" s="80"/>
      <c r="L38" s="80"/>
    </row>
    <row r="39" spans="1:12" x14ac:dyDescent="0.25">
      <c r="A39" s="80"/>
      <c r="B39" s="458"/>
      <c r="C39" s="79" t="s">
        <v>691</v>
      </c>
      <c r="D39" s="457">
        <v>1</v>
      </c>
      <c r="E39" s="565"/>
      <c r="F39" s="566">
        <v>1940</v>
      </c>
      <c r="G39" s="440">
        <v>1.2000000000000002</v>
      </c>
      <c r="H39" s="440">
        <f t="shared" ref="H39:H51" si="3">PRODUCT(D39:G39)</f>
        <v>2328.0000000000005</v>
      </c>
      <c r="I39" s="447" t="s">
        <v>382</v>
      </c>
      <c r="J39" s="80"/>
      <c r="K39" s="80"/>
      <c r="L39" s="80"/>
    </row>
    <row r="40" spans="1:12" x14ac:dyDescent="0.25">
      <c r="A40" s="80"/>
      <c r="B40" s="458"/>
      <c r="C40" s="79" t="s">
        <v>692</v>
      </c>
      <c r="D40" s="457">
        <v>1</v>
      </c>
      <c r="E40" s="565"/>
      <c r="F40" s="566">
        <v>1024</v>
      </c>
      <c r="G40" s="440">
        <v>1.2000000000000002</v>
      </c>
      <c r="H40" s="440">
        <f t="shared" si="3"/>
        <v>1228.8000000000002</v>
      </c>
      <c r="I40" s="447" t="s">
        <v>382</v>
      </c>
      <c r="J40" s="80"/>
      <c r="K40" s="80"/>
      <c r="L40" s="80"/>
    </row>
    <row r="41" spans="1:12" x14ac:dyDescent="0.25">
      <c r="A41" s="80"/>
      <c r="B41" s="458"/>
      <c r="C41" s="79" t="s">
        <v>699</v>
      </c>
      <c r="D41" s="457">
        <v>1</v>
      </c>
      <c r="E41" s="565"/>
      <c r="F41" s="566">
        <v>25838</v>
      </c>
      <c r="G41" s="440">
        <v>0.67</v>
      </c>
      <c r="H41" s="440">
        <f t="shared" si="3"/>
        <v>17311.460000000003</v>
      </c>
      <c r="I41" s="447" t="s">
        <v>382</v>
      </c>
      <c r="J41" s="80"/>
      <c r="K41" s="80"/>
      <c r="L41" s="80"/>
    </row>
    <row r="42" spans="1:12" x14ac:dyDescent="0.25">
      <c r="A42" s="80"/>
      <c r="B42" s="458" t="s">
        <v>142</v>
      </c>
      <c r="C42" s="79" t="s">
        <v>145</v>
      </c>
      <c r="D42" s="457">
        <v>1</v>
      </c>
      <c r="E42" s="565">
        <v>25438.11</v>
      </c>
      <c r="F42" s="566"/>
      <c r="G42" s="440">
        <f>6/12</f>
        <v>0.5</v>
      </c>
      <c r="H42" s="440">
        <f t="shared" si="3"/>
        <v>12719.055</v>
      </c>
      <c r="I42" s="447" t="s">
        <v>382</v>
      </c>
      <c r="J42" s="80"/>
      <c r="K42" s="80"/>
      <c r="L42" s="80"/>
    </row>
    <row r="43" spans="1:12" x14ac:dyDescent="0.25">
      <c r="A43" s="80"/>
      <c r="B43" s="458"/>
      <c r="C43" s="79" t="s">
        <v>143</v>
      </c>
      <c r="D43" s="457">
        <v>1</v>
      </c>
      <c r="E43" s="565">
        <v>10938.58</v>
      </c>
      <c r="F43" s="566"/>
      <c r="G43" s="440">
        <f t="shared" ref="G43:G53" si="4">6/12</f>
        <v>0.5</v>
      </c>
      <c r="H43" s="440">
        <f t="shared" si="3"/>
        <v>5469.29</v>
      </c>
      <c r="I43" s="447" t="s">
        <v>382</v>
      </c>
      <c r="J43" s="80"/>
      <c r="K43" s="80"/>
      <c r="L43" s="80"/>
    </row>
    <row r="44" spans="1:12" x14ac:dyDescent="0.25">
      <c r="A44" s="80"/>
      <c r="B44" s="458"/>
      <c r="C44" s="79" t="s">
        <v>144</v>
      </c>
      <c r="D44" s="457">
        <v>1</v>
      </c>
      <c r="E44" s="565">
        <v>89862.29</v>
      </c>
      <c r="F44" s="566"/>
      <c r="G44" s="440">
        <f t="shared" si="4"/>
        <v>0.5</v>
      </c>
      <c r="H44" s="440">
        <f t="shared" si="3"/>
        <v>44931.144999999997</v>
      </c>
      <c r="I44" s="447" t="s">
        <v>382</v>
      </c>
      <c r="J44" s="80"/>
      <c r="K44" s="80"/>
      <c r="L44" s="80"/>
    </row>
    <row r="45" spans="1:12" x14ac:dyDescent="0.25">
      <c r="A45" s="80"/>
      <c r="B45" s="458"/>
      <c r="C45" s="79" t="s">
        <v>147</v>
      </c>
      <c r="D45" s="457">
        <v>1</v>
      </c>
      <c r="E45" s="565">
        <v>26341.93</v>
      </c>
      <c r="F45" s="566"/>
      <c r="G45" s="440">
        <f t="shared" si="4"/>
        <v>0.5</v>
      </c>
      <c r="H45" s="440">
        <f t="shared" si="3"/>
        <v>13170.965</v>
      </c>
      <c r="I45" s="447" t="s">
        <v>382</v>
      </c>
      <c r="J45" s="80"/>
      <c r="K45" s="80"/>
      <c r="L45" s="80"/>
    </row>
    <row r="46" spans="1:12" x14ac:dyDescent="0.25">
      <c r="A46" s="80"/>
      <c r="B46" s="458"/>
      <c r="C46" s="79" t="s">
        <v>146</v>
      </c>
      <c r="D46" s="457">
        <v>1</v>
      </c>
      <c r="E46" s="565">
        <v>3929.88</v>
      </c>
      <c r="F46" s="566"/>
      <c r="G46" s="440">
        <f t="shared" si="4"/>
        <v>0.5</v>
      </c>
      <c r="H46" s="440">
        <f t="shared" si="3"/>
        <v>1964.94</v>
      </c>
      <c r="I46" s="447" t="s">
        <v>382</v>
      </c>
      <c r="J46" s="80"/>
      <c r="K46" s="80"/>
      <c r="L46" s="80"/>
    </row>
    <row r="47" spans="1:12" x14ac:dyDescent="0.25">
      <c r="A47" s="80"/>
      <c r="B47" s="458"/>
      <c r="C47" s="79" t="s">
        <v>148</v>
      </c>
      <c r="D47" s="457">
        <v>1</v>
      </c>
      <c r="E47" s="565">
        <v>3935</v>
      </c>
      <c r="F47" s="566"/>
      <c r="G47" s="440">
        <f t="shared" si="4"/>
        <v>0.5</v>
      </c>
      <c r="H47" s="440">
        <f t="shared" si="3"/>
        <v>1967.5</v>
      </c>
      <c r="I47" s="447" t="s">
        <v>382</v>
      </c>
      <c r="J47" s="80"/>
      <c r="K47" s="80"/>
      <c r="L47" s="80"/>
    </row>
    <row r="48" spans="1:12" x14ac:dyDescent="0.25">
      <c r="A48" s="80"/>
      <c r="B48" s="458"/>
      <c r="C48" s="79" t="s">
        <v>148</v>
      </c>
      <c r="D48" s="457">
        <v>1</v>
      </c>
      <c r="E48" s="565">
        <v>2958</v>
      </c>
      <c r="F48" s="566"/>
      <c r="G48" s="440">
        <f t="shared" si="4"/>
        <v>0.5</v>
      </c>
      <c r="H48" s="440">
        <f t="shared" si="3"/>
        <v>1479</v>
      </c>
      <c r="I48" s="447" t="s">
        <v>382</v>
      </c>
      <c r="J48" s="80"/>
      <c r="K48" s="80"/>
      <c r="L48" s="80"/>
    </row>
    <row r="49" spans="1:12" x14ac:dyDescent="0.25">
      <c r="A49" s="80"/>
      <c r="B49" s="458"/>
      <c r="C49" s="79" t="s">
        <v>149</v>
      </c>
      <c r="D49" s="457">
        <v>1</v>
      </c>
      <c r="E49" s="565">
        <v>23480</v>
      </c>
      <c r="F49" s="566"/>
      <c r="G49" s="440">
        <f t="shared" si="4"/>
        <v>0.5</v>
      </c>
      <c r="H49" s="440">
        <f t="shared" si="3"/>
        <v>11740</v>
      </c>
      <c r="I49" s="447" t="s">
        <v>382</v>
      </c>
      <c r="J49" s="80"/>
      <c r="K49" s="80"/>
      <c r="L49" s="80"/>
    </row>
    <row r="50" spans="1:12" x14ac:dyDescent="0.25">
      <c r="A50" s="80"/>
      <c r="B50" s="458"/>
      <c r="C50" s="79" t="s">
        <v>150</v>
      </c>
      <c r="D50" s="457">
        <v>1</v>
      </c>
      <c r="E50" s="565">
        <v>5781</v>
      </c>
      <c r="F50" s="566"/>
      <c r="G50" s="440">
        <f t="shared" si="4"/>
        <v>0.5</v>
      </c>
      <c r="H50" s="440">
        <f t="shared" si="3"/>
        <v>2890.5</v>
      </c>
      <c r="I50" s="447" t="s">
        <v>382</v>
      </c>
      <c r="J50" s="80"/>
      <c r="K50" s="80"/>
      <c r="L50" s="80"/>
    </row>
    <row r="51" spans="1:12" x14ac:dyDescent="0.25">
      <c r="A51" s="80"/>
      <c r="B51" s="458"/>
      <c r="C51" s="79" t="s">
        <v>151</v>
      </c>
      <c r="D51" s="457">
        <v>1</v>
      </c>
      <c r="E51" s="565">
        <v>31583</v>
      </c>
      <c r="F51" s="566"/>
      <c r="G51" s="440">
        <f t="shared" si="4"/>
        <v>0.5</v>
      </c>
      <c r="H51" s="440">
        <f t="shared" si="3"/>
        <v>15791.5</v>
      </c>
      <c r="I51" s="447" t="s">
        <v>382</v>
      </c>
      <c r="J51" s="80"/>
      <c r="K51" s="80"/>
      <c r="L51" s="80"/>
    </row>
    <row r="52" spans="1:12" x14ac:dyDescent="0.25">
      <c r="A52" s="80"/>
      <c r="B52" s="458"/>
      <c r="C52" s="79" t="s">
        <v>706</v>
      </c>
      <c r="D52" s="457">
        <v>1</v>
      </c>
      <c r="E52" s="565">
        <v>2183</v>
      </c>
      <c r="F52" s="566"/>
      <c r="G52" s="440">
        <f t="shared" si="4"/>
        <v>0.5</v>
      </c>
      <c r="H52" s="440">
        <f>E52</f>
        <v>2183</v>
      </c>
      <c r="I52" s="447" t="s">
        <v>382</v>
      </c>
      <c r="J52" s="80"/>
      <c r="K52" s="80"/>
      <c r="L52" s="80"/>
    </row>
    <row r="53" spans="1:12" x14ac:dyDescent="0.25">
      <c r="A53" s="80"/>
      <c r="B53" s="458"/>
      <c r="C53" s="79" t="s">
        <v>706</v>
      </c>
      <c r="D53" s="457">
        <v>1</v>
      </c>
      <c r="E53" s="565">
        <v>1092.17</v>
      </c>
      <c r="F53" s="566"/>
      <c r="G53" s="440">
        <f t="shared" si="4"/>
        <v>0.5</v>
      </c>
      <c r="H53" s="440">
        <f>E53</f>
        <v>1092.17</v>
      </c>
      <c r="I53" s="447" t="s">
        <v>382</v>
      </c>
      <c r="J53" s="80"/>
      <c r="K53" s="80"/>
      <c r="L53" s="80"/>
    </row>
    <row r="54" spans="1:12" s="97" customFormat="1" x14ac:dyDescent="0.25">
      <c r="A54" s="79"/>
      <c r="B54" s="49"/>
      <c r="C54" s="49" t="s">
        <v>703</v>
      </c>
      <c r="D54" s="457">
        <v>1</v>
      </c>
      <c r="E54" s="443"/>
      <c r="F54" s="444"/>
      <c r="G54" s="440"/>
      <c r="H54" s="461"/>
      <c r="I54" s="453"/>
      <c r="J54" s="79"/>
      <c r="K54" s="79"/>
      <c r="L54" s="79"/>
    </row>
    <row r="55" spans="1:12" s="97" customFormat="1" x14ac:dyDescent="0.25">
      <c r="A55" s="79"/>
      <c r="B55" s="16" t="s">
        <v>704</v>
      </c>
      <c r="C55" s="79" t="s">
        <v>642</v>
      </c>
      <c r="D55" s="461">
        <v>1</v>
      </c>
      <c r="E55" s="565">
        <v>5103</v>
      </c>
      <c r="F55" s="566"/>
      <c r="G55" s="440">
        <v>0.5</v>
      </c>
      <c r="H55" s="461">
        <f>PRODUCT(D55:G55)</f>
        <v>2551.5</v>
      </c>
      <c r="I55" s="447" t="s">
        <v>382</v>
      </c>
      <c r="J55" s="79"/>
      <c r="K55" s="79"/>
      <c r="L55" s="79"/>
    </row>
    <row r="56" spans="1:12" s="97" customFormat="1" x14ac:dyDescent="0.25">
      <c r="A56" s="79"/>
      <c r="B56" s="16" t="s">
        <v>703</v>
      </c>
      <c r="C56" s="79" t="s">
        <v>705</v>
      </c>
      <c r="D56" s="461">
        <v>2</v>
      </c>
      <c r="E56" s="565">
        <f>46.4+69.76+46.39</f>
        <v>162.55000000000001</v>
      </c>
      <c r="F56" s="566"/>
      <c r="G56" s="440">
        <f>5/12</f>
        <v>0.41666666666666669</v>
      </c>
      <c r="H56" s="461">
        <f>PRODUCT(D56:G56)</f>
        <v>135.45833333333334</v>
      </c>
      <c r="I56" s="447" t="s">
        <v>382</v>
      </c>
      <c r="J56" s="79"/>
      <c r="K56" s="79"/>
      <c r="L56" s="79"/>
    </row>
    <row r="57" spans="1:12" x14ac:dyDescent="0.25">
      <c r="A57" s="80"/>
      <c r="B57" s="458"/>
      <c r="C57" s="79"/>
      <c r="D57" s="457"/>
      <c r="E57" s="565"/>
      <c r="F57" s="566"/>
      <c r="G57" s="440"/>
      <c r="H57" s="440"/>
      <c r="I57" s="447"/>
      <c r="J57" s="80"/>
      <c r="K57" s="80"/>
      <c r="L57" s="80"/>
    </row>
    <row r="58" spans="1:12" s="97" customFormat="1" x14ac:dyDescent="0.25">
      <c r="A58" s="451">
        <v>3</v>
      </c>
      <c r="B58" s="454" t="s">
        <v>203</v>
      </c>
      <c r="C58" s="451"/>
      <c r="D58" s="452"/>
      <c r="E58" s="452"/>
      <c r="F58" s="452"/>
      <c r="G58" s="452"/>
      <c r="H58" s="452"/>
      <c r="I58" s="455"/>
      <c r="J58" s="452">
        <f>+SUM(H59:H95)/27</f>
        <v>1149.1503999999993</v>
      </c>
      <c r="K58" s="451" t="s">
        <v>382</v>
      </c>
      <c r="L58" s="451"/>
    </row>
    <row r="59" spans="1:12" x14ac:dyDescent="0.25">
      <c r="A59" s="118"/>
      <c r="B59" s="118"/>
      <c r="C59" s="118"/>
      <c r="D59" s="118"/>
      <c r="E59" s="118">
        <v>504.49</v>
      </c>
      <c r="F59" s="118">
        <v>7</v>
      </c>
      <c r="G59" s="118">
        <v>0.33</v>
      </c>
      <c r="H59" s="118">
        <f>PRODUCT(E59:G59)</f>
        <v>1165.3719000000001</v>
      </c>
      <c r="I59" s="118"/>
      <c r="J59" s="170"/>
      <c r="K59" s="118"/>
      <c r="L59" s="118"/>
    </row>
    <row r="60" spans="1:12" x14ac:dyDescent="0.25">
      <c r="A60" s="118"/>
      <c r="B60" s="118"/>
      <c r="C60" s="118"/>
      <c r="D60" s="118"/>
      <c r="E60" s="118">
        <v>184.08</v>
      </c>
      <c r="F60" s="118">
        <v>7</v>
      </c>
      <c r="G60" s="118">
        <v>0.33</v>
      </c>
      <c r="H60" s="118">
        <f t="shared" ref="H60:H70" si="5">PRODUCT(E60:G60)</f>
        <v>425.22480000000007</v>
      </c>
      <c r="I60" s="118"/>
      <c r="J60" s="170"/>
      <c r="K60" s="118"/>
      <c r="L60" s="118"/>
    </row>
    <row r="61" spans="1:12" x14ac:dyDescent="0.25">
      <c r="A61" s="118"/>
      <c r="B61" s="118"/>
      <c r="C61" s="118"/>
      <c r="D61" s="118"/>
      <c r="E61" s="118">
        <v>239.24</v>
      </c>
      <c r="F61" s="118">
        <v>7</v>
      </c>
      <c r="G61" s="118">
        <v>0.33</v>
      </c>
      <c r="H61" s="118">
        <f t="shared" si="5"/>
        <v>552.64440000000002</v>
      </c>
      <c r="I61" s="118"/>
      <c r="J61" s="170"/>
      <c r="K61" s="118"/>
      <c r="L61" s="118"/>
    </row>
    <row r="62" spans="1:12" x14ac:dyDescent="0.25">
      <c r="A62" s="118"/>
      <c r="B62" s="118"/>
      <c r="C62" s="118"/>
      <c r="D62" s="118"/>
      <c r="E62" s="118">
        <v>425.4</v>
      </c>
      <c r="F62" s="118">
        <v>7</v>
      </c>
      <c r="G62" s="118">
        <v>0.33</v>
      </c>
      <c r="H62" s="118">
        <f t="shared" si="5"/>
        <v>982.67399999999998</v>
      </c>
      <c r="I62" s="118"/>
      <c r="J62" s="170"/>
      <c r="K62" s="118"/>
      <c r="L62" s="118"/>
    </row>
    <row r="63" spans="1:12" x14ac:dyDescent="0.25">
      <c r="A63" s="118"/>
      <c r="B63" s="118"/>
      <c r="C63" s="118"/>
      <c r="D63" s="118"/>
      <c r="E63" s="118">
        <v>594.58000000000004</v>
      </c>
      <c r="F63" s="118">
        <v>7</v>
      </c>
      <c r="G63" s="118">
        <v>0.33</v>
      </c>
      <c r="H63" s="118">
        <f t="shared" si="5"/>
        <v>1373.4798000000003</v>
      </c>
      <c r="I63" s="118"/>
      <c r="J63" s="170"/>
      <c r="K63" s="118"/>
      <c r="L63" s="118"/>
    </row>
    <row r="64" spans="1:12" x14ac:dyDescent="0.25">
      <c r="A64" s="118"/>
      <c r="B64" s="118"/>
      <c r="C64" s="118"/>
      <c r="D64" s="118"/>
      <c r="E64" s="118">
        <v>468.87</v>
      </c>
      <c r="F64" s="118">
        <v>7</v>
      </c>
      <c r="G64" s="118">
        <v>0.33</v>
      </c>
      <c r="H64" s="118">
        <f t="shared" si="5"/>
        <v>1083.0897</v>
      </c>
      <c r="I64" s="118"/>
      <c r="J64" s="170"/>
      <c r="K64" s="118"/>
      <c r="L64" s="118"/>
    </row>
    <row r="65" spans="1:12" x14ac:dyDescent="0.25">
      <c r="A65" s="118"/>
      <c r="B65" s="118"/>
      <c r="C65" s="118"/>
      <c r="D65" s="118"/>
      <c r="E65" s="118">
        <v>181.04</v>
      </c>
      <c r="F65" s="118">
        <v>7</v>
      </c>
      <c r="G65" s="118">
        <v>0.33</v>
      </c>
      <c r="H65" s="118">
        <f t="shared" si="5"/>
        <v>418.20240000000001</v>
      </c>
      <c r="I65" s="118"/>
      <c r="J65" s="170"/>
      <c r="K65" s="118"/>
      <c r="L65" s="118"/>
    </row>
    <row r="66" spans="1:12" x14ac:dyDescent="0.25">
      <c r="A66" s="118"/>
      <c r="B66" s="118"/>
      <c r="C66" s="118"/>
      <c r="D66" s="118"/>
      <c r="E66" s="118">
        <v>120.88</v>
      </c>
      <c r="F66" s="118">
        <v>7</v>
      </c>
      <c r="G66" s="118">
        <v>0.33</v>
      </c>
      <c r="H66" s="118">
        <f t="shared" si="5"/>
        <v>279.2328</v>
      </c>
      <c r="I66" s="118"/>
      <c r="J66" s="170"/>
      <c r="K66" s="118"/>
      <c r="L66" s="118"/>
    </row>
    <row r="67" spans="1:12" x14ac:dyDescent="0.25">
      <c r="A67" s="118"/>
      <c r="B67" s="118"/>
      <c r="C67" s="118"/>
      <c r="D67" s="118"/>
      <c r="E67" s="118">
        <v>269.02999999999997</v>
      </c>
      <c r="F67" s="118">
        <v>7</v>
      </c>
      <c r="G67" s="118">
        <v>0.33</v>
      </c>
      <c r="H67" s="118">
        <f t="shared" si="5"/>
        <v>621.45929999999998</v>
      </c>
      <c r="I67" s="118"/>
      <c r="J67" s="170"/>
      <c r="K67" s="118"/>
      <c r="L67" s="118"/>
    </row>
    <row r="68" spans="1:12" x14ac:dyDescent="0.25">
      <c r="A68" s="118"/>
      <c r="B68" s="118"/>
      <c r="C68" s="118"/>
      <c r="D68" s="118"/>
      <c r="E68" s="118">
        <v>98.45</v>
      </c>
      <c r="F68" s="118">
        <v>7</v>
      </c>
      <c r="G68" s="118">
        <v>0.33</v>
      </c>
      <c r="H68" s="118">
        <f t="shared" si="5"/>
        <v>227.4195</v>
      </c>
      <c r="I68" s="118"/>
      <c r="J68" s="170"/>
      <c r="K68" s="118"/>
      <c r="L68" s="118"/>
    </row>
    <row r="69" spans="1:12" x14ac:dyDescent="0.25">
      <c r="A69" s="118"/>
      <c r="B69" s="118"/>
      <c r="C69" s="118"/>
      <c r="D69" s="118"/>
      <c r="E69" s="118">
        <v>356.01</v>
      </c>
      <c r="F69" s="118">
        <v>7</v>
      </c>
      <c r="G69" s="118">
        <v>0.33</v>
      </c>
      <c r="H69" s="118">
        <f t="shared" si="5"/>
        <v>822.3830999999999</v>
      </c>
      <c r="I69" s="118"/>
      <c r="J69" s="170"/>
      <c r="K69" s="118"/>
      <c r="L69" s="118"/>
    </row>
    <row r="70" spans="1:12" x14ac:dyDescent="0.25">
      <c r="A70" s="118"/>
      <c r="B70" s="118"/>
      <c r="C70" s="118"/>
      <c r="D70" s="118"/>
      <c r="E70" s="118">
        <v>367.16</v>
      </c>
      <c r="F70" s="118">
        <v>7</v>
      </c>
      <c r="G70" s="118">
        <v>0.33</v>
      </c>
      <c r="H70" s="118">
        <f t="shared" si="5"/>
        <v>848.1396000000002</v>
      </c>
      <c r="I70" s="118"/>
      <c r="J70" s="170"/>
      <c r="K70" s="118"/>
      <c r="L70" s="118"/>
    </row>
    <row r="71" spans="1:12" x14ac:dyDescent="0.25">
      <c r="A71" s="118"/>
      <c r="B71" s="118" t="s">
        <v>700</v>
      </c>
      <c r="C71" s="118"/>
      <c r="D71" s="118"/>
      <c r="E71" s="118">
        <v>4155.8</v>
      </c>
      <c r="F71" s="118">
        <v>6</v>
      </c>
      <c r="G71" s="118">
        <v>0.33</v>
      </c>
      <c r="H71" s="118">
        <f t="shared" ref="H71:H95" si="6">PRODUCT(E71:G71)</f>
        <v>8228.4840000000022</v>
      </c>
      <c r="I71" s="118"/>
      <c r="J71" s="170"/>
      <c r="K71" s="118"/>
      <c r="L71" s="118"/>
    </row>
    <row r="72" spans="1:12" x14ac:dyDescent="0.25">
      <c r="A72" s="118"/>
      <c r="B72" s="118"/>
      <c r="C72" s="118" t="s">
        <v>190</v>
      </c>
      <c r="D72" s="118"/>
      <c r="E72" s="570">
        <v>21559.321</v>
      </c>
      <c r="F72" s="570"/>
      <c r="G72" s="118">
        <v>0.5</v>
      </c>
      <c r="H72" s="118">
        <f t="shared" si="6"/>
        <v>10779.6605</v>
      </c>
      <c r="I72" s="118"/>
      <c r="J72" s="118"/>
      <c r="K72" s="118"/>
      <c r="L72" s="118"/>
    </row>
    <row r="73" spans="1:12" ht="30" x14ac:dyDescent="0.25">
      <c r="A73" s="118"/>
      <c r="B73" s="118"/>
      <c r="C73" s="169" t="s">
        <v>213</v>
      </c>
      <c r="D73" s="118"/>
      <c r="E73" s="570">
        <v>1222.4100000000001</v>
      </c>
      <c r="F73" s="570"/>
      <c r="G73" s="118">
        <v>0.5</v>
      </c>
      <c r="H73" s="118">
        <f t="shared" si="6"/>
        <v>611.20500000000004</v>
      </c>
      <c r="I73" s="118"/>
      <c r="J73" s="118"/>
      <c r="K73" s="118"/>
      <c r="L73" s="118"/>
    </row>
    <row r="74" spans="1:12" x14ac:dyDescent="0.25">
      <c r="A74" s="118"/>
      <c r="B74" s="118"/>
      <c r="C74" s="567" t="s">
        <v>212</v>
      </c>
      <c r="D74" s="118"/>
      <c r="E74" s="570">
        <v>1238</v>
      </c>
      <c r="F74" s="570"/>
      <c r="G74" s="118">
        <v>0.5</v>
      </c>
      <c r="H74" s="118">
        <f t="shared" si="6"/>
        <v>619</v>
      </c>
      <c r="I74" s="118"/>
      <c r="J74" s="118"/>
      <c r="K74" s="118"/>
      <c r="L74" s="118"/>
    </row>
    <row r="75" spans="1:12" x14ac:dyDescent="0.25">
      <c r="A75" s="118"/>
      <c r="B75" s="118"/>
      <c r="C75" s="568"/>
      <c r="D75" s="118"/>
      <c r="E75" s="570">
        <v>563.23</v>
      </c>
      <c r="F75" s="570"/>
      <c r="G75" s="118">
        <v>0.5</v>
      </c>
      <c r="H75" s="118">
        <f t="shared" si="6"/>
        <v>281.61500000000001</v>
      </c>
      <c r="I75" s="118"/>
      <c r="J75" s="118"/>
      <c r="K75" s="118"/>
      <c r="L75" s="118"/>
    </row>
    <row r="76" spans="1:12" x14ac:dyDescent="0.25">
      <c r="A76" s="118"/>
      <c r="B76" s="118"/>
      <c r="C76" s="568"/>
      <c r="D76" s="118"/>
      <c r="E76" s="570">
        <v>307.17</v>
      </c>
      <c r="F76" s="570"/>
      <c r="G76" s="118">
        <v>0.5</v>
      </c>
      <c r="H76" s="118">
        <f t="shared" si="6"/>
        <v>153.58500000000001</v>
      </c>
      <c r="I76" s="118"/>
      <c r="J76" s="118"/>
      <c r="K76" s="118"/>
      <c r="L76" s="118"/>
    </row>
    <row r="77" spans="1:12" x14ac:dyDescent="0.25">
      <c r="A77" s="118"/>
      <c r="B77" s="118"/>
      <c r="C77" s="569"/>
      <c r="D77" s="118"/>
      <c r="E77" s="570">
        <v>307.17</v>
      </c>
      <c r="F77" s="570"/>
      <c r="G77" s="118">
        <v>0.5</v>
      </c>
      <c r="H77" s="118">
        <f t="shared" si="6"/>
        <v>153.58500000000001</v>
      </c>
      <c r="I77" s="118"/>
      <c r="J77" s="118"/>
      <c r="K77" s="118"/>
      <c r="L77" s="118"/>
    </row>
    <row r="78" spans="1:12" x14ac:dyDescent="0.25">
      <c r="A78" s="118"/>
      <c r="B78" s="118"/>
      <c r="C78" s="567" t="s">
        <v>211</v>
      </c>
      <c r="D78" s="118"/>
      <c r="E78" s="570">
        <v>300.05</v>
      </c>
      <c r="F78" s="570"/>
      <c r="G78" s="118">
        <v>0.5</v>
      </c>
      <c r="H78" s="118">
        <f t="shared" si="6"/>
        <v>150.02500000000001</v>
      </c>
      <c r="I78" s="118"/>
      <c r="J78" s="118"/>
      <c r="K78" s="118"/>
      <c r="L78" s="118"/>
    </row>
    <row r="79" spans="1:12" x14ac:dyDescent="0.25">
      <c r="A79" s="118"/>
      <c r="B79" s="118"/>
      <c r="C79" s="568"/>
      <c r="D79" s="118"/>
      <c r="E79" s="570">
        <v>110.02</v>
      </c>
      <c r="F79" s="570"/>
      <c r="G79" s="118">
        <v>0.5</v>
      </c>
      <c r="H79" s="118">
        <f t="shared" si="6"/>
        <v>55.01</v>
      </c>
      <c r="I79" s="118"/>
      <c r="J79" s="118"/>
      <c r="K79" s="118"/>
      <c r="L79" s="118"/>
    </row>
    <row r="80" spans="1:12" x14ac:dyDescent="0.25">
      <c r="A80" s="118"/>
      <c r="B80" s="118"/>
      <c r="C80" s="568"/>
      <c r="D80" s="118"/>
      <c r="E80" s="570">
        <v>110.02</v>
      </c>
      <c r="F80" s="570"/>
      <c r="G80" s="118">
        <v>0.5</v>
      </c>
      <c r="H80" s="118">
        <f t="shared" si="6"/>
        <v>55.01</v>
      </c>
      <c r="I80" s="118"/>
      <c r="J80" s="118"/>
      <c r="K80" s="118"/>
      <c r="L80" s="118"/>
    </row>
    <row r="81" spans="1:12" x14ac:dyDescent="0.25">
      <c r="A81" s="118"/>
      <c r="B81" s="118"/>
      <c r="C81" s="568"/>
      <c r="D81" s="118"/>
      <c r="E81" s="570">
        <v>154.03</v>
      </c>
      <c r="F81" s="570"/>
      <c r="G81" s="118">
        <v>0.5</v>
      </c>
      <c r="H81" s="118">
        <f t="shared" si="6"/>
        <v>77.015000000000001</v>
      </c>
      <c r="I81" s="118"/>
      <c r="J81" s="118"/>
      <c r="K81" s="118"/>
      <c r="L81" s="118"/>
    </row>
    <row r="82" spans="1:12" x14ac:dyDescent="0.25">
      <c r="A82" s="118"/>
      <c r="B82" s="118"/>
      <c r="C82" s="568"/>
      <c r="D82" s="118"/>
      <c r="E82" s="570">
        <v>110.02</v>
      </c>
      <c r="F82" s="570"/>
      <c r="G82" s="118">
        <v>0.5</v>
      </c>
      <c r="H82" s="118">
        <f t="shared" si="6"/>
        <v>55.01</v>
      </c>
      <c r="I82" s="118"/>
      <c r="J82" s="118"/>
      <c r="K82" s="118"/>
      <c r="L82" s="118"/>
    </row>
    <row r="83" spans="1:12" x14ac:dyDescent="0.25">
      <c r="A83" s="118"/>
      <c r="B83" s="118"/>
      <c r="C83" s="568"/>
      <c r="D83" s="118"/>
      <c r="E83" s="570">
        <v>110.02</v>
      </c>
      <c r="F83" s="570"/>
      <c r="G83" s="118">
        <v>0.5</v>
      </c>
      <c r="H83" s="118">
        <f t="shared" si="6"/>
        <v>55.01</v>
      </c>
      <c r="I83" s="118"/>
      <c r="J83" s="118"/>
      <c r="K83" s="118"/>
      <c r="L83" s="118"/>
    </row>
    <row r="84" spans="1:12" x14ac:dyDescent="0.25">
      <c r="A84" s="118"/>
      <c r="B84" s="118"/>
      <c r="C84" s="568"/>
      <c r="D84" s="118"/>
      <c r="E84" s="570">
        <v>154.02000000000001</v>
      </c>
      <c r="F84" s="570"/>
      <c r="G84" s="118">
        <v>0.5</v>
      </c>
      <c r="H84" s="118">
        <f t="shared" si="6"/>
        <v>77.010000000000005</v>
      </c>
      <c r="I84" s="118"/>
      <c r="J84" s="118"/>
      <c r="K84" s="118"/>
      <c r="L84" s="118"/>
    </row>
    <row r="85" spans="1:12" x14ac:dyDescent="0.25">
      <c r="A85" s="118"/>
      <c r="B85" s="118"/>
      <c r="C85" s="568"/>
      <c r="D85" s="118"/>
      <c r="E85" s="570">
        <v>110.02</v>
      </c>
      <c r="F85" s="570"/>
      <c r="G85" s="118">
        <v>0.5</v>
      </c>
      <c r="H85" s="118">
        <f t="shared" si="6"/>
        <v>55.01</v>
      </c>
      <c r="I85" s="118"/>
      <c r="J85" s="118"/>
      <c r="K85" s="118"/>
      <c r="L85" s="118"/>
    </row>
    <row r="86" spans="1:12" x14ac:dyDescent="0.25">
      <c r="A86" s="118"/>
      <c r="B86" s="118"/>
      <c r="C86" s="569"/>
      <c r="D86" s="118"/>
      <c r="E86" s="570">
        <v>110.02</v>
      </c>
      <c r="F86" s="570"/>
      <c r="G86" s="118">
        <v>0.5</v>
      </c>
      <c r="H86" s="118">
        <f t="shared" si="6"/>
        <v>55.01</v>
      </c>
      <c r="I86" s="118"/>
      <c r="J86" s="118"/>
      <c r="K86" s="118"/>
      <c r="L86" s="118"/>
    </row>
    <row r="87" spans="1:12" ht="14.45" customHeight="1" x14ac:dyDescent="0.25">
      <c r="A87" s="118"/>
      <c r="B87" s="118"/>
      <c r="C87" s="567" t="s">
        <v>210</v>
      </c>
      <c r="D87" s="118"/>
      <c r="E87" s="570">
        <v>270.04000000000002</v>
      </c>
      <c r="F87" s="570"/>
      <c r="G87" s="118">
        <v>0.5</v>
      </c>
      <c r="H87" s="118">
        <f t="shared" si="6"/>
        <v>135.02000000000001</v>
      </c>
      <c r="I87" s="118"/>
      <c r="J87" s="118"/>
      <c r="K87" s="118"/>
      <c r="L87" s="118"/>
    </row>
    <row r="88" spans="1:12" x14ac:dyDescent="0.25">
      <c r="A88" s="118"/>
      <c r="B88" s="118"/>
      <c r="C88" s="568"/>
      <c r="D88" s="118"/>
      <c r="E88" s="570">
        <v>299</v>
      </c>
      <c r="F88" s="570"/>
      <c r="G88" s="118">
        <v>0.5</v>
      </c>
      <c r="H88" s="118">
        <f t="shared" si="6"/>
        <v>149.5</v>
      </c>
      <c r="I88" s="118"/>
      <c r="J88" s="118"/>
      <c r="K88" s="118"/>
      <c r="L88" s="118"/>
    </row>
    <row r="89" spans="1:12" x14ac:dyDescent="0.25">
      <c r="A89" s="118"/>
      <c r="B89" s="118"/>
      <c r="C89" s="568"/>
      <c r="D89" s="118"/>
      <c r="E89" s="570">
        <v>216.03</v>
      </c>
      <c r="F89" s="570"/>
      <c r="G89" s="118">
        <v>0.5</v>
      </c>
      <c r="H89" s="118">
        <f t="shared" si="6"/>
        <v>108.015</v>
      </c>
      <c r="I89" s="118"/>
      <c r="J89" s="118"/>
      <c r="K89" s="118"/>
      <c r="L89" s="118"/>
    </row>
    <row r="90" spans="1:12" x14ac:dyDescent="0.25">
      <c r="A90" s="118"/>
      <c r="B90" s="118"/>
      <c r="C90" s="568"/>
      <c r="D90" s="118"/>
      <c r="E90" s="570">
        <v>109.84</v>
      </c>
      <c r="F90" s="570"/>
      <c r="G90" s="118">
        <v>0.5</v>
      </c>
      <c r="H90" s="118">
        <f t="shared" si="6"/>
        <v>54.92</v>
      </c>
      <c r="I90" s="118"/>
      <c r="J90" s="118"/>
      <c r="K90" s="118"/>
      <c r="L90" s="118"/>
    </row>
    <row r="91" spans="1:12" x14ac:dyDescent="0.25">
      <c r="A91" s="118"/>
      <c r="B91" s="118"/>
      <c r="C91" s="568"/>
      <c r="D91" s="118"/>
      <c r="E91" s="570">
        <v>110.02</v>
      </c>
      <c r="F91" s="570"/>
      <c r="G91" s="118">
        <v>0.5</v>
      </c>
      <c r="H91" s="118">
        <f t="shared" si="6"/>
        <v>55.01</v>
      </c>
      <c r="I91" s="118"/>
      <c r="J91" s="118"/>
      <c r="K91" s="118"/>
      <c r="L91" s="118"/>
    </row>
    <row r="92" spans="1:12" x14ac:dyDescent="0.25">
      <c r="A92" s="118"/>
      <c r="B92" s="118"/>
      <c r="C92" s="568"/>
      <c r="D92" s="118"/>
      <c r="E92" s="570">
        <v>154.02000000000001</v>
      </c>
      <c r="F92" s="570"/>
      <c r="G92" s="118">
        <v>0.5</v>
      </c>
      <c r="H92" s="118">
        <f t="shared" si="6"/>
        <v>77.010000000000005</v>
      </c>
      <c r="I92" s="118"/>
      <c r="J92" s="118"/>
      <c r="K92" s="118"/>
      <c r="L92" s="118"/>
    </row>
    <row r="93" spans="1:12" x14ac:dyDescent="0.25">
      <c r="A93" s="118"/>
      <c r="B93" s="118"/>
      <c r="C93" s="568"/>
      <c r="D93" s="118"/>
      <c r="E93" s="570">
        <v>110.02</v>
      </c>
      <c r="F93" s="570"/>
      <c r="G93" s="118">
        <v>0.5</v>
      </c>
      <c r="H93" s="118">
        <f t="shared" si="6"/>
        <v>55.01</v>
      </c>
      <c r="I93" s="118"/>
      <c r="J93" s="118"/>
      <c r="K93" s="118"/>
      <c r="L93" s="118"/>
    </row>
    <row r="94" spans="1:12" x14ac:dyDescent="0.25">
      <c r="A94" s="118"/>
      <c r="B94" s="118"/>
      <c r="C94" s="568"/>
      <c r="D94" s="118"/>
      <c r="E94" s="570">
        <v>154</v>
      </c>
      <c r="F94" s="570"/>
      <c r="G94" s="118">
        <v>0.5</v>
      </c>
      <c r="H94" s="118">
        <f t="shared" si="6"/>
        <v>77</v>
      </c>
      <c r="I94" s="118"/>
      <c r="J94" s="118"/>
      <c r="K94" s="118"/>
      <c r="L94" s="118"/>
    </row>
    <row r="95" spans="1:12" x14ac:dyDescent="0.25">
      <c r="A95" s="118"/>
      <c r="B95" s="118"/>
      <c r="C95" s="569"/>
      <c r="D95" s="118"/>
      <c r="E95" s="570">
        <v>110.02</v>
      </c>
      <c r="F95" s="570"/>
      <c r="G95" s="118">
        <v>0.5</v>
      </c>
      <c r="H95" s="118">
        <f t="shared" si="6"/>
        <v>55.01</v>
      </c>
      <c r="I95" s="118"/>
      <c r="J95" s="118"/>
      <c r="K95" s="118"/>
      <c r="L95" s="118"/>
    </row>
    <row r="96" spans="1:12" x14ac:dyDescent="0.25">
      <c r="A96" s="448"/>
      <c r="B96" s="448"/>
      <c r="C96" s="334"/>
      <c r="D96" s="448"/>
      <c r="E96" s="449"/>
      <c r="F96" s="450"/>
      <c r="G96" s="448"/>
      <c r="H96" s="448"/>
      <c r="I96" s="448"/>
      <c r="J96" s="448"/>
      <c r="K96" s="448"/>
      <c r="L96" s="448"/>
    </row>
    <row r="97" spans="1:12" s="97" customFormat="1" x14ac:dyDescent="0.25">
      <c r="A97" s="451">
        <v>4</v>
      </c>
      <c r="B97" s="454" t="s">
        <v>139</v>
      </c>
      <c r="C97" s="451" t="s">
        <v>140</v>
      </c>
      <c r="D97" s="452">
        <v>1</v>
      </c>
      <c r="E97" s="452">
        <v>28811</v>
      </c>
      <c r="F97" s="452"/>
      <c r="G97" s="452"/>
      <c r="H97" s="452">
        <f>+PRODUCT(D97:G97)</f>
        <v>28811</v>
      </c>
      <c r="I97" s="455" t="s">
        <v>141</v>
      </c>
      <c r="J97" s="452">
        <f>H97</f>
        <v>28811</v>
      </c>
      <c r="K97" s="451" t="s">
        <v>141</v>
      </c>
      <c r="L97" s="451"/>
    </row>
    <row r="98" spans="1:12" x14ac:dyDescent="0.25">
      <c r="A98" s="118"/>
      <c r="B98" s="118"/>
      <c r="C98" s="118"/>
      <c r="D98" s="118"/>
      <c r="E98" s="118"/>
      <c r="F98" s="118"/>
      <c r="G98" s="118"/>
      <c r="H98" s="118"/>
      <c r="I98" s="118"/>
      <c r="J98" s="118"/>
      <c r="K98" s="118"/>
      <c r="L98" s="118"/>
    </row>
    <row r="99" spans="1:12" s="97" customFormat="1" ht="45" x14ac:dyDescent="0.25">
      <c r="A99" s="451">
        <v>5</v>
      </c>
      <c r="B99" s="454" t="s">
        <v>183</v>
      </c>
      <c r="C99" s="451" t="s">
        <v>140</v>
      </c>
      <c r="D99" s="452">
        <v>71</v>
      </c>
      <c r="E99" s="452"/>
      <c r="F99" s="452"/>
      <c r="G99" s="452"/>
      <c r="H99" s="452">
        <f>D99</f>
        <v>71</v>
      </c>
      <c r="I99" s="455" t="s">
        <v>27</v>
      </c>
      <c r="J99" s="452">
        <f>H99</f>
        <v>71</v>
      </c>
      <c r="K99" s="451" t="s">
        <v>27</v>
      </c>
      <c r="L99" s="451"/>
    </row>
    <row r="100" spans="1:12" x14ac:dyDescent="0.25">
      <c r="A100" s="118"/>
      <c r="B100" s="118"/>
      <c r="C100" s="118"/>
      <c r="D100" s="118"/>
      <c r="E100" s="118"/>
      <c r="F100" s="118"/>
      <c r="G100" s="118"/>
      <c r="H100" s="118"/>
      <c r="I100" s="118"/>
      <c r="J100" s="118"/>
      <c r="K100" s="118"/>
      <c r="L100" s="118"/>
    </row>
    <row r="101" spans="1:12" s="97" customFormat="1" x14ac:dyDescent="0.25">
      <c r="A101" s="451">
        <v>6</v>
      </c>
      <c r="B101" s="454" t="s">
        <v>154</v>
      </c>
      <c r="C101" s="451" t="s">
        <v>140</v>
      </c>
      <c r="D101" s="452">
        <v>4</v>
      </c>
      <c r="E101" s="452">
        <v>78.260000000000005</v>
      </c>
      <c r="F101" s="452"/>
      <c r="G101" s="452"/>
      <c r="H101" s="452">
        <f>+PRODUCT(D101:G101)</f>
        <v>313.04000000000002</v>
      </c>
      <c r="I101" s="455" t="s">
        <v>155</v>
      </c>
      <c r="J101" s="452">
        <f>+SUM(H101:H102)</f>
        <v>467.48</v>
      </c>
      <c r="K101" s="451" t="s">
        <v>155</v>
      </c>
      <c r="L101" s="451"/>
    </row>
    <row r="102" spans="1:12" x14ac:dyDescent="0.25">
      <c r="A102" s="80"/>
      <c r="B102" s="458"/>
      <c r="C102" s="79" t="s">
        <v>140</v>
      </c>
      <c r="D102" s="457">
        <v>4</v>
      </c>
      <c r="E102" s="565">
        <v>38.61</v>
      </c>
      <c r="F102" s="566"/>
      <c r="G102" s="440"/>
      <c r="H102" s="440">
        <f>+PRODUCT(D102:G102)</f>
        <v>154.44</v>
      </c>
      <c r="I102" s="447" t="s">
        <v>155</v>
      </c>
      <c r="J102" s="80"/>
      <c r="K102" s="80"/>
      <c r="L102" s="80"/>
    </row>
    <row r="103" spans="1:12" x14ac:dyDescent="0.25">
      <c r="A103" s="80"/>
      <c r="B103" s="458"/>
      <c r="C103" s="79"/>
      <c r="D103" s="457"/>
      <c r="E103" s="565"/>
      <c r="F103" s="566"/>
      <c r="G103" s="440"/>
      <c r="H103" s="440"/>
      <c r="I103" s="447"/>
      <c r="J103" s="80"/>
      <c r="K103" s="80"/>
      <c r="L103" s="80"/>
    </row>
    <row r="104" spans="1:12" x14ac:dyDescent="0.25">
      <c r="A104" s="118"/>
      <c r="B104" s="118" t="s">
        <v>184</v>
      </c>
      <c r="C104" s="118"/>
      <c r="D104" s="118"/>
      <c r="E104" s="118"/>
      <c r="F104" s="118"/>
      <c r="G104" s="118"/>
      <c r="H104" s="118"/>
      <c r="I104" s="118"/>
      <c r="J104" s="170"/>
      <c r="K104" s="118"/>
      <c r="L104" s="118"/>
    </row>
    <row r="105" spans="1:12" x14ac:dyDescent="0.25">
      <c r="A105" s="118"/>
      <c r="B105" s="118" t="s">
        <v>185</v>
      </c>
      <c r="C105" s="118" t="s">
        <v>140</v>
      </c>
      <c r="D105" s="118">
        <f>71-3</f>
        <v>68</v>
      </c>
      <c r="E105" s="118">
        <f>(18+1)*2</f>
        <v>38</v>
      </c>
      <c r="F105" s="118"/>
      <c r="G105" s="118"/>
      <c r="H105" s="118">
        <f>D105*E105</f>
        <v>2584</v>
      </c>
      <c r="I105" s="118" t="s">
        <v>30</v>
      </c>
      <c r="J105" s="170">
        <f>H105</f>
        <v>2584</v>
      </c>
      <c r="K105" s="118" t="s">
        <v>30</v>
      </c>
      <c r="L105" s="118"/>
    </row>
    <row r="106" spans="1:12" x14ac:dyDescent="0.25">
      <c r="A106" s="118"/>
      <c r="B106" s="118" t="s">
        <v>186</v>
      </c>
      <c r="C106" s="118" t="s">
        <v>140</v>
      </c>
      <c r="D106" s="118">
        <v>1</v>
      </c>
      <c r="E106" s="118">
        <f>24.48*2</f>
        <v>48.96</v>
      </c>
      <c r="F106" s="118"/>
      <c r="G106" s="118"/>
      <c r="H106" s="118">
        <f>D106*E106</f>
        <v>48.96</v>
      </c>
      <c r="I106" s="118" t="s">
        <v>30</v>
      </c>
      <c r="J106" s="170">
        <f>H106</f>
        <v>48.96</v>
      </c>
      <c r="K106" s="118" t="s">
        <v>30</v>
      </c>
      <c r="L106" s="118"/>
    </row>
    <row r="107" spans="1:12" x14ac:dyDescent="0.25">
      <c r="A107" s="118"/>
      <c r="B107" s="118" t="s">
        <v>187</v>
      </c>
      <c r="C107" s="118" t="s">
        <v>140</v>
      </c>
      <c r="D107" s="118">
        <v>1</v>
      </c>
      <c r="E107" s="118">
        <f>17*2</f>
        <v>34</v>
      </c>
      <c r="F107" s="118"/>
      <c r="G107" s="118"/>
      <c r="H107" s="118">
        <f>D107*E107</f>
        <v>34</v>
      </c>
      <c r="I107" s="118" t="s">
        <v>30</v>
      </c>
      <c r="J107" s="170">
        <f>H107</f>
        <v>34</v>
      </c>
      <c r="K107" s="118" t="s">
        <v>30</v>
      </c>
      <c r="L107" s="118"/>
    </row>
    <row r="108" spans="1:12" x14ac:dyDescent="0.25">
      <c r="A108" s="118"/>
      <c r="B108" s="118" t="s">
        <v>188</v>
      </c>
      <c r="C108" s="118" t="s">
        <v>140</v>
      </c>
      <c r="D108" s="118">
        <v>2</v>
      </c>
      <c r="E108" s="118">
        <f>18*2</f>
        <v>36</v>
      </c>
      <c r="F108" s="118"/>
      <c r="G108" s="118"/>
      <c r="H108" s="118">
        <f>D108*E108</f>
        <v>72</v>
      </c>
      <c r="I108" s="118" t="s">
        <v>30</v>
      </c>
      <c r="J108" s="170">
        <f>+SUM(H108:H109)</f>
        <v>152</v>
      </c>
      <c r="K108" s="118" t="s">
        <v>30</v>
      </c>
      <c r="L108" s="118"/>
    </row>
    <row r="109" spans="1:12" x14ac:dyDescent="0.25">
      <c r="A109" s="118"/>
      <c r="B109" s="118"/>
      <c r="C109" s="118" t="s">
        <v>140</v>
      </c>
      <c r="D109" s="118">
        <v>2</v>
      </c>
      <c r="E109" s="118">
        <f>10*4</f>
        <v>40</v>
      </c>
      <c r="F109" s="118"/>
      <c r="G109" s="118"/>
      <c r="H109" s="118">
        <f>D109*E109</f>
        <v>80</v>
      </c>
      <c r="I109" s="118" t="s">
        <v>30</v>
      </c>
      <c r="J109" s="170"/>
      <c r="K109" s="118"/>
      <c r="L109" s="118"/>
    </row>
    <row r="110" spans="1:12" x14ac:dyDescent="0.25">
      <c r="A110" s="118"/>
      <c r="B110" s="118"/>
      <c r="C110" s="118"/>
      <c r="D110" s="118"/>
      <c r="E110" s="118"/>
      <c r="F110" s="118"/>
      <c r="G110" s="118"/>
      <c r="H110" s="118"/>
      <c r="I110" s="118"/>
      <c r="J110" s="170"/>
      <c r="K110" s="118"/>
      <c r="L110" s="118"/>
    </row>
    <row r="111" spans="1:12" s="97" customFormat="1" ht="30" x14ac:dyDescent="0.25">
      <c r="A111" s="451">
        <v>7</v>
      </c>
      <c r="B111" s="454" t="s">
        <v>180</v>
      </c>
      <c r="C111" s="451"/>
      <c r="D111" s="452"/>
      <c r="E111" s="452"/>
      <c r="F111" s="452"/>
      <c r="G111" s="452"/>
      <c r="H111" s="452"/>
      <c r="I111" s="455"/>
      <c r="J111" s="452"/>
      <c r="K111" s="451"/>
      <c r="L111" s="451"/>
    </row>
    <row r="112" spans="1:12" x14ac:dyDescent="0.25">
      <c r="A112" s="118"/>
      <c r="B112" s="118"/>
      <c r="C112" s="118"/>
      <c r="D112" s="118"/>
      <c r="E112" s="118">
        <v>504.49</v>
      </c>
      <c r="F112" s="118">
        <v>7</v>
      </c>
      <c r="G112" s="118">
        <v>0.33</v>
      </c>
      <c r="H112" s="118">
        <f>PRODUCT(E112:G112)</f>
        <v>1165.3719000000001</v>
      </c>
      <c r="I112" s="118"/>
      <c r="J112" s="168">
        <f>+SUM(H112:H123)/27</f>
        <v>325.90078888888888</v>
      </c>
      <c r="K112" s="118" t="s">
        <v>52</v>
      </c>
      <c r="L112" s="118"/>
    </row>
    <row r="113" spans="1:12" x14ac:dyDescent="0.25">
      <c r="A113" s="118"/>
      <c r="B113" s="118"/>
      <c r="C113" s="118"/>
      <c r="D113" s="118"/>
      <c r="E113" s="118">
        <v>184.08</v>
      </c>
      <c r="F113" s="118">
        <v>7</v>
      </c>
      <c r="G113" s="118">
        <v>0.33</v>
      </c>
      <c r="H113" s="118">
        <f t="shared" ref="H113:H123" si="7">PRODUCT(E113:G113)</f>
        <v>425.22480000000007</v>
      </c>
      <c r="I113" s="118"/>
      <c r="J113" s="170"/>
      <c r="K113" s="118"/>
      <c r="L113" s="118"/>
    </row>
    <row r="114" spans="1:12" x14ac:dyDescent="0.25">
      <c r="A114" s="118"/>
      <c r="B114" s="118"/>
      <c r="C114" s="118"/>
      <c r="D114" s="118"/>
      <c r="E114" s="118">
        <v>239.24</v>
      </c>
      <c r="F114" s="118">
        <v>7</v>
      </c>
      <c r="G114" s="118">
        <v>0.33</v>
      </c>
      <c r="H114" s="118">
        <f t="shared" si="7"/>
        <v>552.64440000000002</v>
      </c>
      <c r="I114" s="118"/>
      <c r="J114" s="170"/>
      <c r="K114" s="118"/>
      <c r="L114" s="118"/>
    </row>
    <row r="115" spans="1:12" x14ac:dyDescent="0.25">
      <c r="A115" s="118"/>
      <c r="B115" s="118"/>
      <c r="C115" s="118"/>
      <c r="D115" s="118"/>
      <c r="E115" s="118">
        <v>425.4</v>
      </c>
      <c r="F115" s="118">
        <v>7</v>
      </c>
      <c r="G115" s="118">
        <v>0.33</v>
      </c>
      <c r="H115" s="118">
        <f t="shared" si="7"/>
        <v>982.67399999999998</v>
      </c>
      <c r="I115" s="118"/>
      <c r="J115" s="170"/>
      <c r="K115" s="118"/>
      <c r="L115" s="118"/>
    </row>
    <row r="116" spans="1:12" x14ac:dyDescent="0.25">
      <c r="A116" s="118"/>
      <c r="B116" s="118"/>
      <c r="C116" s="118"/>
      <c r="D116" s="118"/>
      <c r="E116" s="118">
        <v>594.58000000000004</v>
      </c>
      <c r="F116" s="118">
        <v>7</v>
      </c>
      <c r="G116" s="118">
        <v>0.33</v>
      </c>
      <c r="H116" s="118">
        <f t="shared" si="7"/>
        <v>1373.4798000000003</v>
      </c>
      <c r="I116" s="118"/>
      <c r="J116" s="170"/>
      <c r="K116" s="118"/>
      <c r="L116" s="118"/>
    </row>
    <row r="117" spans="1:12" x14ac:dyDescent="0.25">
      <c r="A117" s="118"/>
      <c r="B117" s="118"/>
      <c r="C117" s="118"/>
      <c r="D117" s="118"/>
      <c r="E117" s="118">
        <v>468.87</v>
      </c>
      <c r="F117" s="118">
        <v>7</v>
      </c>
      <c r="G117" s="118">
        <v>0.33</v>
      </c>
      <c r="H117" s="118">
        <f t="shared" si="7"/>
        <v>1083.0897</v>
      </c>
      <c r="I117" s="118"/>
      <c r="J117" s="170"/>
      <c r="K117" s="118"/>
      <c r="L117" s="118"/>
    </row>
    <row r="118" spans="1:12" x14ac:dyDescent="0.25">
      <c r="A118" s="118"/>
      <c r="B118" s="118"/>
      <c r="C118" s="118"/>
      <c r="D118" s="118"/>
      <c r="E118" s="118">
        <v>181.04</v>
      </c>
      <c r="F118" s="118">
        <v>7</v>
      </c>
      <c r="G118" s="118">
        <v>0.33</v>
      </c>
      <c r="H118" s="118">
        <f t="shared" si="7"/>
        <v>418.20240000000001</v>
      </c>
      <c r="I118" s="118"/>
      <c r="J118" s="170"/>
      <c r="K118" s="118"/>
      <c r="L118" s="118"/>
    </row>
    <row r="119" spans="1:12" x14ac:dyDescent="0.25">
      <c r="A119" s="118"/>
      <c r="B119" s="118"/>
      <c r="C119" s="118"/>
      <c r="D119" s="118"/>
      <c r="E119" s="118">
        <v>120.88</v>
      </c>
      <c r="F119" s="118">
        <v>7</v>
      </c>
      <c r="G119" s="118">
        <v>0.33</v>
      </c>
      <c r="H119" s="118">
        <f t="shared" si="7"/>
        <v>279.2328</v>
      </c>
      <c r="I119" s="118"/>
      <c r="J119" s="170"/>
      <c r="K119" s="118"/>
      <c r="L119" s="118"/>
    </row>
    <row r="120" spans="1:12" x14ac:dyDescent="0.25">
      <c r="A120" s="118"/>
      <c r="B120" s="118"/>
      <c r="C120" s="118"/>
      <c r="D120" s="118"/>
      <c r="E120" s="118">
        <v>269.02999999999997</v>
      </c>
      <c r="F120" s="118">
        <v>7</v>
      </c>
      <c r="G120" s="118">
        <v>0.33</v>
      </c>
      <c r="H120" s="118">
        <f t="shared" si="7"/>
        <v>621.45929999999998</v>
      </c>
      <c r="I120" s="118"/>
      <c r="J120" s="170"/>
      <c r="K120" s="118"/>
      <c r="L120" s="118"/>
    </row>
    <row r="121" spans="1:12" x14ac:dyDescent="0.25">
      <c r="A121" s="118"/>
      <c r="B121" s="118"/>
      <c r="C121" s="118"/>
      <c r="D121" s="118"/>
      <c r="E121" s="118">
        <v>98.45</v>
      </c>
      <c r="F121" s="118">
        <v>7</v>
      </c>
      <c r="G121" s="118">
        <v>0.33</v>
      </c>
      <c r="H121" s="118">
        <f t="shared" si="7"/>
        <v>227.4195</v>
      </c>
      <c r="I121" s="118"/>
      <c r="J121" s="170"/>
      <c r="K121" s="118"/>
      <c r="L121" s="118"/>
    </row>
    <row r="122" spans="1:12" x14ac:dyDescent="0.25">
      <c r="A122" s="118"/>
      <c r="B122" s="118"/>
      <c r="C122" s="118"/>
      <c r="D122" s="118"/>
      <c r="E122" s="118">
        <v>356.01</v>
      </c>
      <c r="F122" s="118">
        <v>7</v>
      </c>
      <c r="G122" s="118">
        <v>0.33</v>
      </c>
      <c r="H122" s="118">
        <f t="shared" si="7"/>
        <v>822.3830999999999</v>
      </c>
      <c r="I122" s="118"/>
      <c r="J122" s="170"/>
      <c r="K122" s="118"/>
      <c r="L122" s="118"/>
    </row>
    <row r="123" spans="1:12" x14ac:dyDescent="0.25">
      <c r="A123" s="118"/>
      <c r="B123" s="118"/>
      <c r="C123" s="118"/>
      <c r="D123" s="118"/>
      <c r="E123" s="118">
        <v>367.16</v>
      </c>
      <c r="F123" s="118">
        <v>7</v>
      </c>
      <c r="G123" s="118">
        <v>0.33</v>
      </c>
      <c r="H123" s="118">
        <f t="shared" si="7"/>
        <v>848.1396000000002</v>
      </c>
      <c r="I123" s="118"/>
      <c r="J123" s="170"/>
      <c r="K123" s="118"/>
      <c r="L123" s="118"/>
    </row>
    <row r="124" spans="1:12" x14ac:dyDescent="0.25">
      <c r="A124" s="118"/>
      <c r="B124" s="118"/>
      <c r="C124" s="118"/>
      <c r="D124" s="118"/>
      <c r="E124" s="118"/>
      <c r="F124" s="118"/>
      <c r="G124" s="118"/>
      <c r="H124" s="118"/>
      <c r="I124" s="118"/>
      <c r="J124" s="170"/>
      <c r="K124" s="118"/>
      <c r="L124" s="118"/>
    </row>
    <row r="125" spans="1:12" s="97" customFormat="1" x14ac:dyDescent="0.25">
      <c r="A125" s="451">
        <v>8</v>
      </c>
      <c r="B125" s="454" t="s">
        <v>142</v>
      </c>
      <c r="C125" s="451" t="s">
        <v>145</v>
      </c>
      <c r="D125" s="452"/>
      <c r="E125" s="452">
        <v>25438.11</v>
      </c>
      <c r="F125" s="452"/>
      <c r="G125" s="452"/>
      <c r="H125" s="452">
        <f>E125</f>
        <v>25438.11</v>
      </c>
      <c r="I125" s="455" t="s">
        <v>141</v>
      </c>
      <c r="J125" s="452">
        <f>SUM(H125:H134)</f>
        <v>224247.79</v>
      </c>
      <c r="K125" s="451" t="s">
        <v>141</v>
      </c>
      <c r="L125" s="451"/>
    </row>
    <row r="126" spans="1:12" x14ac:dyDescent="0.25">
      <c r="A126" s="118"/>
      <c r="B126" s="118"/>
      <c r="C126" s="118" t="s">
        <v>143</v>
      </c>
      <c r="D126" s="118"/>
      <c r="E126" s="570">
        <v>10938.58</v>
      </c>
      <c r="F126" s="570"/>
      <c r="G126" s="118"/>
      <c r="H126" s="118">
        <f t="shared" ref="H126:H134" si="8">E126</f>
        <v>10938.58</v>
      </c>
      <c r="I126" s="118" t="s">
        <v>141</v>
      </c>
      <c r="J126" s="118"/>
      <c r="K126" s="118"/>
      <c r="L126" s="118"/>
    </row>
    <row r="127" spans="1:12" x14ac:dyDescent="0.25">
      <c r="A127" s="118"/>
      <c r="B127" s="118"/>
      <c r="C127" s="118" t="s">
        <v>144</v>
      </c>
      <c r="D127" s="118"/>
      <c r="E127" s="570">
        <v>89862.29</v>
      </c>
      <c r="F127" s="570"/>
      <c r="G127" s="118"/>
      <c r="H127" s="118">
        <f t="shared" si="8"/>
        <v>89862.29</v>
      </c>
      <c r="I127" s="118" t="s">
        <v>141</v>
      </c>
      <c r="J127" s="118"/>
      <c r="K127" s="118"/>
      <c r="L127" s="118"/>
    </row>
    <row r="128" spans="1:12" x14ac:dyDescent="0.25">
      <c r="A128" s="118"/>
      <c r="B128" s="118"/>
      <c r="C128" s="118" t="s">
        <v>147</v>
      </c>
      <c r="D128" s="118"/>
      <c r="E128" s="570">
        <v>26341.93</v>
      </c>
      <c r="F128" s="570"/>
      <c r="G128" s="118"/>
      <c r="H128" s="118">
        <f t="shared" si="8"/>
        <v>26341.93</v>
      </c>
      <c r="I128" s="118" t="s">
        <v>141</v>
      </c>
      <c r="J128" s="118"/>
      <c r="K128" s="118"/>
      <c r="L128" s="118"/>
    </row>
    <row r="129" spans="1:12" x14ac:dyDescent="0.25">
      <c r="A129" s="118"/>
      <c r="B129" s="118"/>
      <c r="C129" s="118" t="s">
        <v>146</v>
      </c>
      <c r="D129" s="118"/>
      <c r="E129" s="570">
        <v>3929.88</v>
      </c>
      <c r="F129" s="570"/>
      <c r="G129" s="118"/>
      <c r="H129" s="118">
        <f t="shared" si="8"/>
        <v>3929.88</v>
      </c>
      <c r="I129" s="118" t="s">
        <v>141</v>
      </c>
      <c r="J129" s="118"/>
      <c r="K129" s="118"/>
      <c r="L129" s="118"/>
    </row>
    <row r="130" spans="1:12" x14ac:dyDescent="0.25">
      <c r="A130" s="118"/>
      <c r="B130" s="118"/>
      <c r="C130" s="118" t="s">
        <v>148</v>
      </c>
      <c r="D130" s="118"/>
      <c r="E130" s="570">
        <v>3935</v>
      </c>
      <c r="F130" s="570"/>
      <c r="G130" s="118"/>
      <c r="H130" s="118">
        <f t="shared" si="8"/>
        <v>3935</v>
      </c>
      <c r="I130" s="118" t="s">
        <v>141</v>
      </c>
      <c r="J130" s="118"/>
      <c r="K130" s="118"/>
      <c r="L130" s="118"/>
    </row>
    <row r="131" spans="1:12" x14ac:dyDescent="0.25">
      <c r="A131" s="118"/>
      <c r="B131" s="118"/>
      <c r="C131" s="118" t="s">
        <v>148</v>
      </c>
      <c r="D131" s="118"/>
      <c r="E131" s="570">
        <v>2958</v>
      </c>
      <c r="F131" s="570"/>
      <c r="G131" s="118"/>
      <c r="H131" s="118">
        <f t="shared" si="8"/>
        <v>2958</v>
      </c>
      <c r="I131" s="118" t="s">
        <v>141</v>
      </c>
      <c r="J131" s="118"/>
      <c r="K131" s="118"/>
      <c r="L131" s="118"/>
    </row>
    <row r="132" spans="1:12" x14ac:dyDescent="0.25">
      <c r="A132" s="118"/>
      <c r="B132" s="118"/>
      <c r="C132" s="118" t="s">
        <v>149</v>
      </c>
      <c r="D132" s="118"/>
      <c r="E132" s="570">
        <v>23480</v>
      </c>
      <c r="F132" s="570"/>
      <c r="G132" s="118"/>
      <c r="H132" s="118">
        <f t="shared" si="8"/>
        <v>23480</v>
      </c>
      <c r="I132" s="118" t="s">
        <v>141</v>
      </c>
      <c r="J132" s="118"/>
      <c r="K132" s="118"/>
      <c r="L132" s="118"/>
    </row>
    <row r="133" spans="1:12" x14ac:dyDescent="0.25">
      <c r="A133" s="118"/>
      <c r="B133" s="118"/>
      <c r="C133" s="118" t="s">
        <v>150</v>
      </c>
      <c r="D133" s="118"/>
      <c r="E133" s="570">
        <v>5781</v>
      </c>
      <c r="F133" s="570"/>
      <c r="G133" s="118"/>
      <c r="H133" s="118">
        <f t="shared" si="8"/>
        <v>5781</v>
      </c>
      <c r="I133" s="118" t="s">
        <v>141</v>
      </c>
      <c r="J133" s="118"/>
      <c r="K133" s="118"/>
      <c r="L133" s="118"/>
    </row>
    <row r="134" spans="1:12" x14ac:dyDescent="0.25">
      <c r="A134" s="118"/>
      <c r="B134" s="118"/>
      <c r="C134" s="118" t="s">
        <v>151</v>
      </c>
      <c r="D134" s="118"/>
      <c r="E134" s="570">
        <v>31583</v>
      </c>
      <c r="F134" s="570"/>
      <c r="G134" s="118"/>
      <c r="H134" s="118">
        <f t="shared" si="8"/>
        <v>31583</v>
      </c>
      <c r="I134" s="118" t="s">
        <v>141</v>
      </c>
      <c r="J134" s="118"/>
      <c r="K134" s="118"/>
      <c r="L134" s="118"/>
    </row>
    <row r="135" spans="1:12" x14ac:dyDescent="0.25">
      <c r="A135" s="118"/>
      <c r="B135" s="118"/>
      <c r="C135" s="118"/>
      <c r="D135" s="118"/>
      <c r="E135" s="570"/>
      <c r="F135" s="570"/>
      <c r="G135" s="118"/>
      <c r="H135" s="118"/>
      <c r="I135" s="118"/>
      <c r="J135" s="118"/>
      <c r="K135" s="118"/>
      <c r="L135" s="118"/>
    </row>
    <row r="136" spans="1:12" s="97" customFormat="1" x14ac:dyDescent="0.25">
      <c r="A136" s="451">
        <v>9</v>
      </c>
      <c r="B136" s="454" t="s">
        <v>189</v>
      </c>
      <c r="C136" s="451"/>
      <c r="D136" s="452"/>
      <c r="E136" s="452"/>
      <c r="F136" s="452"/>
      <c r="G136" s="452"/>
      <c r="H136" s="452"/>
      <c r="I136" s="455"/>
      <c r="J136" s="452">
        <f>SUM(H136:H160)</f>
        <v>27998.510999999999</v>
      </c>
      <c r="K136" s="451" t="s">
        <v>141</v>
      </c>
      <c r="L136" s="451"/>
    </row>
    <row r="137" spans="1:12" x14ac:dyDescent="0.25">
      <c r="A137" s="118"/>
      <c r="B137" s="118"/>
      <c r="C137" s="118" t="s">
        <v>190</v>
      </c>
      <c r="D137" s="118"/>
      <c r="E137" s="570">
        <v>21559.321</v>
      </c>
      <c r="F137" s="570"/>
      <c r="G137" s="118"/>
      <c r="H137" s="118">
        <f>E137</f>
        <v>21559.321</v>
      </c>
      <c r="I137" s="118" t="s">
        <v>141</v>
      </c>
      <c r="J137" s="118"/>
      <c r="K137" s="118"/>
      <c r="L137" s="118"/>
    </row>
    <row r="138" spans="1:12" ht="30" x14ac:dyDescent="0.25">
      <c r="A138" s="118"/>
      <c r="B138" s="118"/>
      <c r="C138" s="169" t="s">
        <v>213</v>
      </c>
      <c r="D138" s="118"/>
      <c r="E138" s="570">
        <v>1222.4100000000001</v>
      </c>
      <c r="F138" s="570"/>
      <c r="G138" s="118"/>
      <c r="H138" s="118">
        <f>E138</f>
        <v>1222.4100000000001</v>
      </c>
      <c r="I138" s="118" t="s">
        <v>141</v>
      </c>
      <c r="J138" s="118"/>
      <c r="K138" s="118"/>
      <c r="L138" s="118"/>
    </row>
    <row r="139" spans="1:12" x14ac:dyDescent="0.25">
      <c r="A139" s="118"/>
      <c r="B139" s="118"/>
      <c r="C139" s="567" t="s">
        <v>212</v>
      </c>
      <c r="D139" s="118"/>
      <c r="E139" s="570">
        <v>1238</v>
      </c>
      <c r="F139" s="570"/>
      <c r="G139" s="118"/>
      <c r="H139" s="118">
        <f t="shared" ref="H139:H158" si="9">E139</f>
        <v>1238</v>
      </c>
      <c r="I139" s="118" t="s">
        <v>141</v>
      </c>
      <c r="J139" s="118"/>
      <c r="K139" s="118"/>
      <c r="L139" s="118"/>
    </row>
    <row r="140" spans="1:12" x14ac:dyDescent="0.25">
      <c r="A140" s="118"/>
      <c r="B140" s="118"/>
      <c r="C140" s="568"/>
      <c r="D140" s="118"/>
      <c r="E140" s="570">
        <v>563.23</v>
      </c>
      <c r="F140" s="570"/>
      <c r="G140" s="118"/>
      <c r="H140" s="118">
        <f t="shared" si="9"/>
        <v>563.23</v>
      </c>
      <c r="I140" s="118" t="s">
        <v>141</v>
      </c>
      <c r="J140" s="118"/>
      <c r="K140" s="118"/>
      <c r="L140" s="118"/>
    </row>
    <row r="141" spans="1:12" x14ac:dyDescent="0.25">
      <c r="A141" s="118"/>
      <c r="B141" s="118"/>
      <c r="C141" s="568"/>
      <c r="D141" s="118"/>
      <c r="E141" s="570">
        <v>307.17</v>
      </c>
      <c r="F141" s="570"/>
      <c r="G141" s="118"/>
      <c r="H141" s="118">
        <f t="shared" si="9"/>
        <v>307.17</v>
      </c>
      <c r="I141" s="118" t="s">
        <v>141</v>
      </c>
      <c r="J141" s="118"/>
      <c r="K141" s="118"/>
      <c r="L141" s="118"/>
    </row>
    <row r="142" spans="1:12" x14ac:dyDescent="0.25">
      <c r="A142" s="118"/>
      <c r="B142" s="118"/>
      <c r="C142" s="569"/>
      <c r="D142" s="118"/>
      <c r="E142" s="570">
        <v>307.17</v>
      </c>
      <c r="F142" s="570"/>
      <c r="G142" s="118"/>
      <c r="H142" s="118">
        <f t="shared" si="9"/>
        <v>307.17</v>
      </c>
      <c r="I142" s="118" t="s">
        <v>141</v>
      </c>
      <c r="J142" s="118"/>
      <c r="K142" s="118"/>
      <c r="L142" s="118"/>
    </row>
    <row r="143" spans="1:12" x14ac:dyDescent="0.25">
      <c r="A143" s="118"/>
      <c r="B143" s="118"/>
      <c r="C143" s="567" t="s">
        <v>211</v>
      </c>
      <c r="D143" s="118"/>
      <c r="E143" s="570">
        <v>300.05</v>
      </c>
      <c r="F143" s="570"/>
      <c r="G143" s="118"/>
      <c r="H143" s="118">
        <f t="shared" si="9"/>
        <v>300.05</v>
      </c>
      <c r="I143" s="118" t="s">
        <v>141</v>
      </c>
      <c r="J143" s="118"/>
      <c r="K143" s="118"/>
      <c r="L143" s="118"/>
    </row>
    <row r="144" spans="1:12" x14ac:dyDescent="0.25">
      <c r="A144" s="118"/>
      <c r="B144" s="118"/>
      <c r="C144" s="568"/>
      <c r="D144" s="118"/>
      <c r="E144" s="570">
        <v>110.02</v>
      </c>
      <c r="F144" s="570"/>
      <c r="G144" s="118"/>
      <c r="H144" s="118">
        <f t="shared" si="9"/>
        <v>110.02</v>
      </c>
      <c r="I144" s="118" t="s">
        <v>141</v>
      </c>
      <c r="J144" s="118"/>
      <c r="K144" s="118"/>
      <c r="L144" s="118"/>
    </row>
    <row r="145" spans="1:12" x14ac:dyDescent="0.25">
      <c r="A145" s="118"/>
      <c r="B145" s="118"/>
      <c r="C145" s="568"/>
      <c r="D145" s="118"/>
      <c r="E145" s="570">
        <v>110.02</v>
      </c>
      <c r="F145" s="570"/>
      <c r="G145" s="118"/>
      <c r="H145" s="118">
        <f t="shared" si="9"/>
        <v>110.02</v>
      </c>
      <c r="I145" s="118" t="s">
        <v>141</v>
      </c>
      <c r="J145" s="118"/>
      <c r="K145" s="118"/>
      <c r="L145" s="118"/>
    </row>
    <row r="146" spans="1:12" x14ac:dyDescent="0.25">
      <c r="A146" s="118"/>
      <c r="B146" s="118"/>
      <c r="C146" s="568"/>
      <c r="D146" s="118"/>
      <c r="E146" s="570">
        <v>154.03</v>
      </c>
      <c r="F146" s="570"/>
      <c r="G146" s="118"/>
      <c r="H146" s="118">
        <f t="shared" si="9"/>
        <v>154.03</v>
      </c>
      <c r="I146" s="118" t="s">
        <v>141</v>
      </c>
      <c r="J146" s="118"/>
      <c r="K146" s="118"/>
      <c r="L146" s="118"/>
    </row>
    <row r="147" spans="1:12" x14ac:dyDescent="0.25">
      <c r="A147" s="118"/>
      <c r="B147" s="118"/>
      <c r="C147" s="568"/>
      <c r="D147" s="118"/>
      <c r="E147" s="570">
        <v>110.02</v>
      </c>
      <c r="F147" s="570"/>
      <c r="G147" s="118"/>
      <c r="H147" s="118">
        <f t="shared" si="9"/>
        <v>110.02</v>
      </c>
      <c r="I147" s="118" t="s">
        <v>141</v>
      </c>
      <c r="J147" s="118"/>
      <c r="K147" s="118"/>
      <c r="L147" s="118"/>
    </row>
    <row r="148" spans="1:12" x14ac:dyDescent="0.25">
      <c r="A148" s="118"/>
      <c r="B148" s="118"/>
      <c r="C148" s="568"/>
      <c r="D148" s="118"/>
      <c r="E148" s="570">
        <v>110.02</v>
      </c>
      <c r="F148" s="570"/>
      <c r="G148" s="118"/>
      <c r="H148" s="118">
        <f t="shared" si="9"/>
        <v>110.02</v>
      </c>
      <c r="I148" s="118" t="s">
        <v>141</v>
      </c>
      <c r="J148" s="118"/>
      <c r="K148" s="118"/>
      <c r="L148" s="118"/>
    </row>
    <row r="149" spans="1:12" x14ac:dyDescent="0.25">
      <c r="A149" s="118"/>
      <c r="B149" s="118"/>
      <c r="C149" s="568"/>
      <c r="D149" s="118"/>
      <c r="E149" s="570">
        <v>154.02000000000001</v>
      </c>
      <c r="F149" s="570"/>
      <c r="G149" s="118"/>
      <c r="H149" s="118">
        <f t="shared" si="9"/>
        <v>154.02000000000001</v>
      </c>
      <c r="I149" s="118" t="s">
        <v>141</v>
      </c>
      <c r="J149" s="118"/>
      <c r="K149" s="118"/>
      <c r="L149" s="118"/>
    </row>
    <row r="150" spans="1:12" x14ac:dyDescent="0.25">
      <c r="A150" s="118"/>
      <c r="B150" s="118"/>
      <c r="C150" s="568"/>
      <c r="D150" s="118"/>
      <c r="E150" s="570">
        <v>110.02</v>
      </c>
      <c r="F150" s="570"/>
      <c r="G150" s="118"/>
      <c r="H150" s="118">
        <f t="shared" si="9"/>
        <v>110.02</v>
      </c>
      <c r="I150" s="118" t="s">
        <v>141</v>
      </c>
      <c r="J150" s="118"/>
      <c r="K150" s="118"/>
      <c r="L150" s="118"/>
    </row>
    <row r="151" spans="1:12" x14ac:dyDescent="0.25">
      <c r="A151" s="118"/>
      <c r="B151" s="118"/>
      <c r="C151" s="569"/>
      <c r="D151" s="118"/>
      <c r="E151" s="570">
        <v>110.02</v>
      </c>
      <c r="F151" s="570"/>
      <c r="G151" s="118"/>
      <c r="H151" s="118">
        <f t="shared" si="9"/>
        <v>110.02</v>
      </c>
      <c r="I151" s="118" t="s">
        <v>141</v>
      </c>
      <c r="J151" s="118"/>
      <c r="K151" s="118"/>
      <c r="L151" s="118"/>
    </row>
    <row r="152" spans="1:12" ht="14.45" customHeight="1" x14ac:dyDescent="0.25">
      <c r="A152" s="118"/>
      <c r="B152" s="118"/>
      <c r="C152" s="567" t="s">
        <v>210</v>
      </c>
      <c r="D152" s="118"/>
      <c r="E152" s="570">
        <v>270.04000000000002</v>
      </c>
      <c r="F152" s="570"/>
      <c r="G152" s="118"/>
      <c r="H152" s="118">
        <f t="shared" si="9"/>
        <v>270.04000000000002</v>
      </c>
      <c r="I152" s="118" t="s">
        <v>141</v>
      </c>
      <c r="J152" s="118"/>
      <c r="K152" s="118"/>
      <c r="L152" s="118"/>
    </row>
    <row r="153" spans="1:12" x14ac:dyDescent="0.25">
      <c r="A153" s="118"/>
      <c r="B153" s="118"/>
      <c r="C153" s="568"/>
      <c r="D153" s="118"/>
      <c r="E153" s="570">
        <v>299</v>
      </c>
      <c r="F153" s="570"/>
      <c r="G153" s="118"/>
      <c r="H153" s="118">
        <f t="shared" si="9"/>
        <v>299</v>
      </c>
      <c r="I153" s="118" t="s">
        <v>141</v>
      </c>
      <c r="J153" s="118"/>
      <c r="K153" s="118"/>
      <c r="L153" s="118"/>
    </row>
    <row r="154" spans="1:12" x14ac:dyDescent="0.25">
      <c r="A154" s="118"/>
      <c r="B154" s="118"/>
      <c r="C154" s="568"/>
      <c r="D154" s="118"/>
      <c r="E154" s="570">
        <v>216.03</v>
      </c>
      <c r="F154" s="570"/>
      <c r="G154" s="118"/>
      <c r="H154" s="118">
        <f t="shared" si="9"/>
        <v>216.03</v>
      </c>
      <c r="I154" s="118" t="s">
        <v>141</v>
      </c>
      <c r="J154" s="118"/>
      <c r="K154" s="118"/>
      <c r="L154" s="118"/>
    </row>
    <row r="155" spans="1:12" x14ac:dyDescent="0.25">
      <c r="A155" s="118"/>
      <c r="B155" s="118"/>
      <c r="C155" s="568"/>
      <c r="D155" s="118"/>
      <c r="E155" s="570">
        <v>109.84</v>
      </c>
      <c r="F155" s="570"/>
      <c r="G155" s="118"/>
      <c r="H155" s="118">
        <f t="shared" si="9"/>
        <v>109.84</v>
      </c>
      <c r="I155" s="118" t="s">
        <v>141</v>
      </c>
      <c r="J155" s="118"/>
      <c r="K155" s="118"/>
      <c r="L155" s="118"/>
    </row>
    <row r="156" spans="1:12" x14ac:dyDescent="0.25">
      <c r="A156" s="118"/>
      <c r="B156" s="118"/>
      <c r="C156" s="568"/>
      <c r="D156" s="118"/>
      <c r="E156" s="570">
        <v>110.02</v>
      </c>
      <c r="F156" s="570"/>
      <c r="G156" s="118"/>
      <c r="H156" s="118">
        <f t="shared" si="9"/>
        <v>110.02</v>
      </c>
      <c r="I156" s="118" t="s">
        <v>141</v>
      </c>
      <c r="J156" s="118"/>
      <c r="K156" s="118"/>
      <c r="L156" s="118"/>
    </row>
    <row r="157" spans="1:12" x14ac:dyDescent="0.25">
      <c r="A157" s="118"/>
      <c r="B157" s="118"/>
      <c r="C157" s="568"/>
      <c r="D157" s="118"/>
      <c r="E157" s="570">
        <v>154.02000000000001</v>
      </c>
      <c r="F157" s="570"/>
      <c r="G157" s="118"/>
      <c r="H157" s="118">
        <f t="shared" si="9"/>
        <v>154.02000000000001</v>
      </c>
      <c r="I157" s="118" t="s">
        <v>141</v>
      </c>
      <c r="J157" s="118"/>
      <c r="K157" s="118"/>
      <c r="L157" s="118"/>
    </row>
    <row r="158" spans="1:12" x14ac:dyDescent="0.25">
      <c r="A158" s="118"/>
      <c r="B158" s="118"/>
      <c r="C158" s="568"/>
      <c r="D158" s="118"/>
      <c r="E158" s="570">
        <v>110.02</v>
      </c>
      <c r="F158" s="570"/>
      <c r="G158" s="118"/>
      <c r="H158" s="118">
        <f t="shared" si="9"/>
        <v>110.02</v>
      </c>
      <c r="I158" s="118" t="s">
        <v>141</v>
      </c>
      <c r="J158" s="118"/>
      <c r="K158" s="118"/>
      <c r="L158" s="118"/>
    </row>
    <row r="159" spans="1:12" x14ac:dyDescent="0.25">
      <c r="A159" s="118"/>
      <c r="B159" s="118"/>
      <c r="C159" s="568"/>
      <c r="D159" s="118"/>
      <c r="E159" s="570">
        <v>154</v>
      </c>
      <c r="F159" s="570"/>
      <c r="G159" s="118"/>
      <c r="H159" s="118">
        <f>E159</f>
        <v>154</v>
      </c>
      <c r="I159" s="118" t="s">
        <v>141</v>
      </c>
      <c r="J159" s="118"/>
      <c r="K159" s="118"/>
      <c r="L159" s="118"/>
    </row>
    <row r="160" spans="1:12" x14ac:dyDescent="0.25">
      <c r="A160" s="118"/>
      <c r="B160" s="118"/>
      <c r="C160" s="569"/>
      <c r="D160" s="118"/>
      <c r="E160" s="570">
        <v>110.02</v>
      </c>
      <c r="F160" s="570"/>
      <c r="G160" s="118"/>
      <c r="H160" s="118">
        <f>E160</f>
        <v>110.02</v>
      </c>
      <c r="I160" s="118" t="s">
        <v>141</v>
      </c>
      <c r="J160" s="118"/>
      <c r="K160" s="118"/>
      <c r="L160" s="118"/>
    </row>
    <row r="161" spans="1:12" x14ac:dyDescent="0.25">
      <c r="A161" s="118"/>
      <c r="B161" s="118"/>
      <c r="C161" s="118"/>
      <c r="D161" s="118"/>
      <c r="E161" s="570"/>
      <c r="F161" s="570"/>
      <c r="G161" s="118"/>
      <c r="H161" s="118"/>
      <c r="I161" s="118"/>
      <c r="J161" s="118"/>
      <c r="K161" s="118"/>
      <c r="L161" s="118"/>
    </row>
    <row r="162" spans="1:12" s="97" customFormat="1" x14ac:dyDescent="0.25">
      <c r="A162" s="451">
        <v>10</v>
      </c>
      <c r="B162" s="454" t="s">
        <v>208</v>
      </c>
      <c r="C162" s="451"/>
      <c r="D162" s="452"/>
      <c r="E162" s="452"/>
      <c r="F162" s="452"/>
      <c r="G162" s="452"/>
      <c r="H162" s="452"/>
      <c r="I162" s="455"/>
      <c r="J162" s="452">
        <f>SUM(H163:H165)</f>
        <v>3275.17</v>
      </c>
      <c r="K162" s="451" t="s">
        <v>141</v>
      </c>
      <c r="L162" s="451"/>
    </row>
    <row r="163" spans="1:12" x14ac:dyDescent="0.25">
      <c r="A163" s="118"/>
      <c r="B163" s="118"/>
      <c r="C163" s="118" t="s">
        <v>209</v>
      </c>
      <c r="D163" s="118"/>
      <c r="E163" s="570"/>
      <c r="F163" s="570"/>
      <c r="G163" s="118"/>
      <c r="H163" s="118"/>
      <c r="I163" s="118"/>
      <c r="J163" s="118"/>
      <c r="K163" s="118"/>
      <c r="L163" s="118"/>
    </row>
    <row r="164" spans="1:12" x14ac:dyDescent="0.25">
      <c r="A164" s="118"/>
      <c r="B164" s="118"/>
      <c r="C164" s="118"/>
      <c r="D164" s="118"/>
      <c r="E164" s="570">
        <v>2183</v>
      </c>
      <c r="F164" s="570"/>
      <c r="G164" s="118"/>
      <c r="H164" s="118">
        <f>E164</f>
        <v>2183</v>
      </c>
      <c r="I164" s="118" t="s">
        <v>141</v>
      </c>
      <c r="J164" s="118"/>
      <c r="K164" s="118"/>
      <c r="L164" s="118"/>
    </row>
    <row r="165" spans="1:12" x14ac:dyDescent="0.25">
      <c r="A165" s="118"/>
      <c r="B165" s="118"/>
      <c r="C165" s="118"/>
      <c r="D165" s="118"/>
      <c r="E165" s="570">
        <v>1092.17</v>
      </c>
      <c r="F165" s="570"/>
      <c r="G165" s="118"/>
      <c r="H165" s="118">
        <f>E165</f>
        <v>1092.17</v>
      </c>
      <c r="I165" s="118" t="s">
        <v>141</v>
      </c>
      <c r="J165" s="118"/>
      <c r="K165" s="118"/>
      <c r="L165" s="118"/>
    </row>
    <row r="166" spans="1:12" x14ac:dyDescent="0.25">
      <c r="A166" s="118"/>
      <c r="B166" s="118"/>
      <c r="C166" s="118"/>
      <c r="D166" s="118"/>
      <c r="E166" s="570"/>
      <c r="F166" s="570"/>
      <c r="G166" s="118"/>
      <c r="H166" s="118"/>
      <c r="I166" s="118"/>
      <c r="J166" s="118"/>
      <c r="K166" s="118"/>
      <c r="L166" s="118"/>
    </row>
    <row r="167" spans="1:12" x14ac:dyDescent="0.25">
      <c r="A167" s="118"/>
      <c r="B167" s="118"/>
      <c r="C167" s="118"/>
      <c r="D167" s="118"/>
      <c r="E167" s="570"/>
      <c r="F167" s="570"/>
      <c r="G167" s="118"/>
      <c r="H167" s="118"/>
      <c r="I167" s="118"/>
      <c r="J167" s="118"/>
      <c r="K167" s="118"/>
      <c r="L167" s="118"/>
    </row>
    <row r="168" spans="1:12" x14ac:dyDescent="0.25">
      <c r="A168" s="118"/>
      <c r="B168" s="118"/>
      <c r="C168" s="118"/>
      <c r="D168" s="118"/>
      <c r="E168" s="570"/>
      <c r="F168" s="570"/>
      <c r="G168" s="118"/>
      <c r="H168" s="118"/>
      <c r="I168" s="118"/>
      <c r="J168" s="118"/>
      <c r="K168" s="118"/>
      <c r="L168" s="118"/>
    </row>
  </sheetData>
  <mergeCells count="118">
    <mergeCell ref="E161:F161"/>
    <mergeCell ref="E159:F159"/>
    <mergeCell ref="E163:F163"/>
    <mergeCell ref="E164:F164"/>
    <mergeCell ref="E165:F165"/>
    <mergeCell ref="E166:F166"/>
    <mergeCell ref="E167:F167"/>
    <mergeCell ref="E168:F168"/>
    <mergeCell ref="E140:F140"/>
    <mergeCell ref="E141:F141"/>
    <mergeCell ref="E142:F142"/>
    <mergeCell ref="E143:F143"/>
    <mergeCell ref="E144:F144"/>
    <mergeCell ref="E145:F145"/>
    <mergeCell ref="E146:F146"/>
    <mergeCell ref="E147:F147"/>
    <mergeCell ref="E148:F148"/>
    <mergeCell ref="E133:F133"/>
    <mergeCell ref="E134:F134"/>
    <mergeCell ref="E129:F129"/>
    <mergeCell ref="E126:F126"/>
    <mergeCell ref="E127:F127"/>
    <mergeCell ref="E128:F128"/>
    <mergeCell ref="E137:F137"/>
    <mergeCell ref="E138:F138"/>
    <mergeCell ref="E139:F139"/>
    <mergeCell ref="E4:F4"/>
    <mergeCell ref="E5:F5"/>
    <mergeCell ref="E6:F6"/>
    <mergeCell ref="E7:F7"/>
    <mergeCell ref="E15:F15"/>
    <mergeCell ref="E8:F8"/>
    <mergeCell ref="E160:F160"/>
    <mergeCell ref="C152:C160"/>
    <mergeCell ref="C143:C151"/>
    <mergeCell ref="C139:C142"/>
    <mergeCell ref="E149:F149"/>
    <mergeCell ref="E150:F150"/>
    <mergeCell ref="E151:F151"/>
    <mergeCell ref="E152:F152"/>
    <mergeCell ref="E153:F153"/>
    <mergeCell ref="E154:F154"/>
    <mergeCell ref="E155:F155"/>
    <mergeCell ref="E156:F156"/>
    <mergeCell ref="E157:F157"/>
    <mergeCell ref="E158:F158"/>
    <mergeCell ref="E135:F135"/>
    <mergeCell ref="E130:F130"/>
    <mergeCell ref="E131:F131"/>
    <mergeCell ref="E132:F132"/>
    <mergeCell ref="E24:F24"/>
    <mergeCell ref="E25:F25"/>
    <mergeCell ref="E26:F26"/>
    <mergeCell ref="E27:F27"/>
    <mergeCell ref="E28:F28"/>
    <mergeCell ref="E16:F16"/>
    <mergeCell ref="E17:F17"/>
    <mergeCell ref="E9:F9"/>
    <mergeCell ref="E10:F10"/>
    <mergeCell ref="E11:F11"/>
    <mergeCell ref="E12:F12"/>
    <mergeCell ref="E13:F13"/>
    <mergeCell ref="E35:F35"/>
    <mergeCell ref="E36:F36"/>
    <mergeCell ref="E37:F37"/>
    <mergeCell ref="E42:F42"/>
    <mergeCell ref="E29:F29"/>
    <mergeCell ref="E30:F30"/>
    <mergeCell ref="E31:F31"/>
    <mergeCell ref="E32:F32"/>
    <mergeCell ref="E33:F33"/>
    <mergeCell ref="E48:F48"/>
    <mergeCell ref="E49:F49"/>
    <mergeCell ref="E50:F50"/>
    <mergeCell ref="E51:F51"/>
    <mergeCell ref="E38:F38"/>
    <mergeCell ref="E39:F39"/>
    <mergeCell ref="E40:F40"/>
    <mergeCell ref="E41:F41"/>
    <mergeCell ref="E43:F43"/>
    <mergeCell ref="E44:F44"/>
    <mergeCell ref="E45:F45"/>
    <mergeCell ref="E46:F46"/>
    <mergeCell ref="E47:F47"/>
    <mergeCell ref="E102:F102"/>
    <mergeCell ref="E103:F103"/>
    <mergeCell ref="E72:F72"/>
    <mergeCell ref="E73:F73"/>
    <mergeCell ref="C74:C77"/>
    <mergeCell ref="E74:F74"/>
    <mergeCell ref="E75:F75"/>
    <mergeCell ref="E76:F76"/>
    <mergeCell ref="E77:F77"/>
    <mergeCell ref="C78:C86"/>
    <mergeCell ref="E78:F78"/>
    <mergeCell ref="E79:F79"/>
    <mergeCell ref="E80:F80"/>
    <mergeCell ref="E81:F81"/>
    <mergeCell ref="E82:F82"/>
    <mergeCell ref="E83:F83"/>
    <mergeCell ref="E84:F84"/>
    <mergeCell ref="E85:F85"/>
    <mergeCell ref="E86:F86"/>
    <mergeCell ref="E55:F55"/>
    <mergeCell ref="E52:F52"/>
    <mergeCell ref="E53:F53"/>
    <mergeCell ref="C87:C95"/>
    <mergeCell ref="E87:F87"/>
    <mergeCell ref="E88:F88"/>
    <mergeCell ref="E89:F89"/>
    <mergeCell ref="E90:F90"/>
    <mergeCell ref="E91:F91"/>
    <mergeCell ref="E92:F92"/>
    <mergeCell ref="E93:F93"/>
    <mergeCell ref="E94:F94"/>
    <mergeCell ref="E95:F95"/>
    <mergeCell ref="E56:F56"/>
    <mergeCell ref="E57:F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Final Summary </vt:lpstr>
      <vt:lpstr>Boq Park</vt:lpstr>
      <vt:lpstr>CB BOQ</vt:lpstr>
      <vt:lpstr>Central Building </vt:lpstr>
      <vt:lpstr>BBS</vt:lpstr>
      <vt:lpstr>Central Concrete Deck Slab BBS</vt:lpstr>
      <vt:lpstr>Take off-CB </vt:lpstr>
      <vt:lpstr>Take off_Restroom &amp; ELec room</vt:lpstr>
      <vt:lpstr>Rest Room &amp; Electrical Room BOQ</vt:lpstr>
      <vt:lpstr>Steel Take off Restroom Elec ro</vt:lpstr>
      <vt:lpstr>Doors &amp; Windows Schedule</vt:lpstr>
      <vt:lpstr>Deck Slab BBS</vt:lpstr>
      <vt:lpstr>Sheet4</vt:lpstr>
      <vt:lpstr>Sewer system</vt:lpstr>
      <vt:lpstr>Drainage System</vt:lpstr>
      <vt:lpstr>Parking 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N G</dc:creator>
  <cp:lastModifiedBy>Akash N G</cp:lastModifiedBy>
  <cp:lastPrinted>2024-06-19T11:06:40Z</cp:lastPrinted>
  <dcterms:created xsi:type="dcterms:W3CDTF">2015-06-05T18:17:20Z</dcterms:created>
  <dcterms:modified xsi:type="dcterms:W3CDTF">2024-09-20T03:45:11Z</dcterms:modified>
</cp:coreProperties>
</file>